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Trading Journal for Shares" sheetId="1" r:id="rId1"/>
  </sheets>
  <definedNames>
    <definedName name="_xlnm.Print_Area" localSheetId="0">'Trading Journal for Shares'!$A$1:$Z$67</definedName>
    <definedName name="_xlnm.Print_Titles" localSheetId="0">'Trading Journal for Shares'!$1:$4</definedName>
    <definedName name="_xlnm._FilterDatabase" localSheetId="0" hidden="1">'Trading Journal for Shares'!$B$1:$B$56</definedName>
    <definedName name="ANZ">#REF!</definedName>
    <definedName name="BHP">#REF!</definedName>
    <definedName name="COH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Titles_1">(#REF!,#REF!)</definedName>
    <definedName name="Excel_BuiltIn_Print_Titles_1_1">(#REF!,#REF!)</definedName>
    <definedName name="Excel_BuiltIn_Print_Titles_1_1_1">#REF!</definedName>
    <definedName name="Excel_BuiltIn_Print_Titles_1_1_1_1">#REF!</definedName>
    <definedName name="Excel_BuiltIn__FilterDatabase_1">#REF!</definedName>
    <definedName name="GUD">#REF!</definedName>
    <definedName name="ILU">#REF!</definedName>
    <definedName name="JHX">#REF!</definedName>
    <definedName name="LEI">#REF!</definedName>
    <definedName name="LEI_">#REF!</definedName>
    <definedName name="PBG">#REF!</definedName>
    <definedName name="PPT">#REF!</definedName>
    <definedName name="QBE">#REF!</definedName>
    <definedName name="Roth__Rank_Code">#REF!</definedName>
    <definedName name="SIG">#REF!</definedName>
    <definedName name="TOL">#REF!</definedName>
    <definedName name="WAN">#REF!</definedName>
    <definedName name="WES">#REF!</definedName>
    <definedName name="WOW">#REF!</definedName>
    <definedName name="WPL">#REF!</definedName>
    <definedName name="Excel_BuiltIn_Print_Area" localSheetId="0">'Trading Journal for Shares'!$A$1:$Z$61</definedName>
    <definedName name="Excel_BuiltIn_Print_Titles" localSheetId="0">'Trading Journal for Shares'!$A$1:$IM$4</definedName>
    <definedName name="Excel_BuiltIn__FilterDatabase" localSheetId="0">'Trading Journal for Shares'!$B$1:$B$50</definedName>
  </definedNames>
  <calcPr fullCalcOnLoad="1"/>
</workbook>
</file>

<file path=xl/sharedStrings.xml><?xml version="1.0" encoding="utf-8"?>
<sst xmlns="http://schemas.openxmlformats.org/spreadsheetml/2006/main" count="306" uniqueCount="105">
  <si>
    <t xml:space="preserve"> </t>
  </si>
  <si>
    <t>Ref 
No*</t>
  </si>
  <si>
    <t>Date</t>
  </si>
  <si>
    <t>Code</t>
  </si>
  <si>
    <t>Company Name
or Other Item 
(eg. interest charge)</t>
  </si>
  <si>
    <t>COMMENTS</t>
  </si>
  <si>
    <t>ACTUAL TRANSACTION
(Buy/Sell) Details</t>
  </si>
  <si>
    <t>plus COSTs ($.c)</t>
  </si>
  <si>
    <t>Profit or
Loss amount</t>
  </si>
  <si>
    <t xml:space="preserve">Posn
[O]pen
[W]in   
[L]oss </t>
  </si>
  <si>
    <t>EQUITY</t>
  </si>
  <si>
    <t>(or Status)</t>
  </si>
  <si>
    <t>Trans'n
Cost</t>
  </si>
  <si>
    <t>Other
Costs</t>
  </si>
  <si>
    <t>Total
Costs</t>
  </si>
  <si>
    <t>Total Trans
amount</t>
  </si>
  <si>
    <t xml:space="preserve"> The buy trans- action </t>
  </si>
  <si>
    <t xml:space="preserve"> Profit or Loss </t>
  </si>
  <si>
    <t xml:space="preserve"> Cash Available
before trans </t>
  </si>
  <si>
    <t xml:space="preserve"> This trans- action </t>
  </si>
  <si>
    <t xml:space="preserve"> New 
cash position </t>
  </si>
  <si>
    <t xml:space="preserve"> Open positions
value </t>
  </si>
  <si>
    <t xml:space="preserve"> TOTAL EQUITY </t>
  </si>
  <si>
    <t>[B]uy
[S]ell</t>
  </si>
  <si>
    <t>QTY</t>
  </si>
  <si>
    <t>Price
$.c</t>
  </si>
  <si>
    <t>Pos 
Value 
$.c</t>
  </si>
  <si>
    <t>SIP</t>
  </si>
  <si>
    <t>Sigma Pharma.</t>
  </si>
  <si>
    <t>Buy after 11am (avoid early morning volatility) IFF price is within the long term trend channel (between about 70 and 76 cents)</t>
  </si>
  <si>
    <t>Buy</t>
  </si>
  <si>
    <t>n/a</t>
  </si>
  <si>
    <t>Closed</t>
  </si>
  <si>
    <t>OSH</t>
  </si>
  <si>
    <t>Oil Search</t>
  </si>
  <si>
    <t>Buy after 11am (avoid early morning volatility)</t>
  </si>
  <si>
    <t>Hit stop — sold at open</t>
  </si>
  <si>
    <t>Sell</t>
  </si>
  <si>
    <t>Loss</t>
  </si>
  <si>
    <t>GEM</t>
  </si>
  <si>
    <t>G8 Education</t>
  </si>
  <si>
    <t>Buy at Open at $5.30 to ensure fill</t>
  </si>
  <si>
    <t>SRX</t>
  </si>
  <si>
    <t>Sirtex Medical</t>
  </si>
  <si>
    <t>Weekly close below WATRTS so sell Monday</t>
  </si>
  <si>
    <t>Win</t>
  </si>
  <si>
    <t>Weekly close below initial stop so sell Monday.
NOTE: significant loss, perhaps refine the EXIT (initial stop).</t>
  </si>
  <si>
    <t>SGT</t>
  </si>
  <si>
    <t>Singapore Telec</t>
  </si>
  <si>
    <t>Buy at Open</t>
  </si>
  <si>
    <t>CSL</t>
  </si>
  <si>
    <t>C'wealth Serum</t>
  </si>
  <si>
    <t>St</t>
  </si>
  <si>
    <t>Jan 2015 Status</t>
  </si>
  <si>
    <t>STATUS — 
OPEN positions</t>
  </si>
  <si>
    <t>STATUS — TOTAL EQUITY</t>
  </si>
  <si>
    <t xml:space="preserve"> ---&gt;</t>
  </si>
  <si>
    <t>SPK</t>
  </si>
  <si>
    <t>Spark NZ</t>
  </si>
  <si>
    <t>Buy at Open — done</t>
  </si>
  <si>
    <t>RHC</t>
  </si>
  <si>
    <t>Ramsay Health Care</t>
  </si>
  <si>
    <t>Buy at Open — done
but smaller position size</t>
  </si>
  <si>
    <t>Sell down half of positions</t>
  </si>
  <si>
    <t>Re-balance portfolio — Sell half at open</t>
  </si>
  <si>
    <t>March actions</t>
  </si>
  <si>
    <t>Plunge below trailing stop so close position at open price on 18th</t>
  </si>
  <si>
    <t>QAN</t>
  </si>
  <si>
    <t>Qantas</t>
  </si>
  <si>
    <t>Open</t>
  </si>
  <si>
    <t>Daily close below INITIAL stop so sell next open.</t>
  </si>
  <si>
    <t>April 2015 — Purchases</t>
  </si>
  <si>
    <t>ANN</t>
  </si>
  <si>
    <t>Ansell</t>
  </si>
  <si>
    <t>HGG</t>
  </si>
  <si>
    <t>Henderson Grp</t>
  </si>
  <si>
    <t>IPL</t>
  </si>
  <si>
    <t>Incitec Pivot</t>
  </si>
  <si>
    <t>MQG</t>
  </si>
  <si>
    <t>Macquarie Group</t>
  </si>
  <si>
    <t>SYD</t>
  </si>
  <si>
    <t>Sydney Airport</t>
  </si>
  <si>
    <t>TCL</t>
  </si>
  <si>
    <t>Transurban</t>
  </si>
  <si>
    <t>April 2015 — selling (and buying)</t>
  </si>
  <si>
    <t>Close below initial stop → Sell at open</t>
  </si>
  <si>
    <t>17a</t>
  </si>
  <si>
    <t>SHV</t>
  </si>
  <si>
    <t>Select Harvets</t>
  </si>
  <si>
    <t>May 2015 — selling</t>
  </si>
  <si>
    <t>On-market buy-back</t>
  </si>
  <si>
    <t>Profit</t>
  </si>
  <si>
    <t>JHX</t>
  </si>
  <si>
    <t>James Hardie</t>
  </si>
  <si>
    <t>STATUS — 
TOTAL EQUITY</t>
  </si>
  <si>
    <t>TOTALs and Profit/Loss:-</t>
  </si>
  <si>
    <t>Number of Open posns:</t>
  </si>
  <si>
    <t>TOTALS / ANALYSIS:</t>
  </si>
  <si>
    <t>No. of Trades:</t>
  </si>
  <si>
    <t>Number of Wins:</t>
  </si>
  <si>
    <t>Number of Losses:</t>
  </si>
  <si>
    <t>Win / Loss ratio:</t>
  </si>
  <si>
    <t>* Notes:</t>
  </si>
  <si>
    <t>Add new entries to the top of the list</t>
  </si>
  <si>
    <t>Ref No = a sequential number allocated to each STOCK.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</si>
</sst>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\$* #,##0.00_-;&quot;-$&quot;* #,##0.00_-;_-\$* \-??_-;_-@_-"/>
    <numFmt numFmtId="166" formatCode="0_ ;[RED]\-0\ "/>
    <numFmt numFmtId="167" formatCode="0.000"/>
    <numFmt numFmtId="168" formatCode="0"/>
    <numFmt numFmtId="169" formatCode="0.0000"/>
    <numFmt numFmtId="170" formatCode="D\ MMM\ "/>
    <numFmt numFmtId="171" formatCode="D\ MMM\ YY"/>
    <numFmt numFmtId="172" formatCode="#,##0.00_ ;[RED]\-#,##0.00\ "/>
    <numFmt numFmtId="173" formatCode="#,##0;[RED]\-#,##0"/>
    <numFmt numFmtId="174" formatCode="#,##0.000"/>
    <numFmt numFmtId="175" formatCode="#,##0"/>
    <numFmt numFmtId="176" formatCode="#,##0.00;[RED]\-#,##0.00"/>
    <numFmt numFmtId="177" formatCode="0%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174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2" fillId="0" borderId="0" xfId="0" applyFont="1" applyAlignment="1">
      <alignment horizontal="center" vertical="top"/>
    </xf>
    <xf numFmtId="164" fontId="0" fillId="0" borderId="0" xfId="0" applyFill="1" applyAlignment="1">
      <alignment vertical="top"/>
    </xf>
    <xf numFmtId="165" fontId="0" fillId="0" borderId="0" xfId="17" applyFont="1" applyFill="1" applyBorder="1" applyAlignment="1" applyProtection="1">
      <alignment vertical="center" wrapText="1"/>
      <protection/>
    </xf>
    <xf numFmtId="165" fontId="0" fillId="0" borderId="0" xfId="17" applyFont="1" applyFill="1" applyBorder="1" applyAlignment="1" applyProtection="1">
      <alignment vertical="top"/>
      <protection/>
    </xf>
    <xf numFmtId="166" fontId="0" fillId="0" borderId="0" xfId="0" applyNumberFormat="1" applyAlignment="1">
      <alignment horizontal="center" vertical="top"/>
    </xf>
    <xf numFmtId="165" fontId="0" fillId="0" borderId="0" xfId="17" applyFont="1" applyFill="1" applyBorder="1" applyAlignment="1" applyProtection="1">
      <alignment horizontal="center" vertical="top"/>
      <protection/>
    </xf>
    <xf numFmtId="164" fontId="1" fillId="0" borderId="0" xfId="0" applyFont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top" wrapText="1"/>
    </xf>
    <xf numFmtId="165" fontId="3" fillId="2" borderId="2" xfId="17" applyFont="1" applyFill="1" applyBorder="1" applyAlignment="1" applyProtection="1">
      <alignment horizontal="center" vertical="top" wrapText="1"/>
      <protection/>
    </xf>
    <xf numFmtId="165" fontId="1" fillId="0" borderId="2" xfId="17" applyFont="1" applyFill="1" applyBorder="1" applyAlignment="1" applyProtection="1">
      <alignment horizontal="center" vertical="top" wrapText="1"/>
      <protection/>
    </xf>
    <xf numFmtId="164" fontId="3" fillId="0" borderId="2" xfId="0" applyFont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center" vertical="top" wrapText="1"/>
    </xf>
    <xf numFmtId="164" fontId="3" fillId="3" borderId="2" xfId="0" applyFont="1" applyFill="1" applyBorder="1" applyAlignment="1">
      <alignment horizontal="center" vertical="center" wrapText="1"/>
    </xf>
    <xf numFmtId="165" fontId="1" fillId="0" borderId="2" xfId="17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top" wrapText="1"/>
    </xf>
    <xf numFmtId="165" fontId="2" fillId="0" borderId="3" xfId="17" applyFont="1" applyFill="1" applyBorder="1" applyAlignment="1" applyProtection="1">
      <alignment horizontal="center" vertical="top" wrapText="1"/>
      <protection/>
    </xf>
    <xf numFmtId="165" fontId="2" fillId="0" borderId="0" xfId="17" applyFont="1" applyFill="1" applyBorder="1" applyAlignment="1" applyProtection="1">
      <alignment horizontal="center" vertical="top" wrapText="1"/>
      <protection/>
    </xf>
    <xf numFmtId="167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169" fontId="2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center" vertical="top"/>
    </xf>
    <xf numFmtId="164" fontId="4" fillId="0" borderId="4" xfId="0" applyFont="1" applyBorder="1" applyAlignment="1">
      <alignment vertical="top"/>
    </xf>
    <xf numFmtId="170" fontId="4" fillId="0" borderId="5" xfId="0" applyNumberFormat="1" applyFont="1" applyBorder="1" applyAlignment="1">
      <alignment horizontal="center" vertical="top"/>
    </xf>
    <xf numFmtId="164" fontId="5" fillId="0" borderId="5" xfId="0" applyFont="1" applyBorder="1" applyAlignment="1">
      <alignment horizontal="center" vertical="top"/>
    </xf>
    <xf numFmtId="164" fontId="4" fillId="0" borderId="5" xfId="0" applyFont="1" applyBorder="1" applyAlignment="1">
      <alignment vertical="top"/>
    </xf>
    <xf numFmtId="164" fontId="4" fillId="0" borderId="5" xfId="0" applyFont="1" applyFill="1" applyBorder="1" applyAlignment="1">
      <alignment vertical="top"/>
    </xf>
    <xf numFmtId="165" fontId="4" fillId="0" borderId="5" xfId="17" applyFont="1" applyFill="1" applyBorder="1" applyAlignment="1" applyProtection="1">
      <alignment vertical="center" wrapText="1"/>
      <protection/>
    </xf>
    <xf numFmtId="165" fontId="4" fillId="0" borderId="5" xfId="17" applyFont="1" applyFill="1" applyBorder="1" applyAlignment="1" applyProtection="1">
      <alignment vertical="top"/>
      <protection/>
    </xf>
    <xf numFmtId="164" fontId="4" fillId="0" borderId="5" xfId="0" applyFont="1" applyBorder="1" applyAlignment="1">
      <alignment horizontal="center" vertical="top"/>
    </xf>
    <xf numFmtId="166" fontId="4" fillId="0" borderId="5" xfId="0" applyNumberFormat="1" applyFont="1" applyBorder="1" applyAlignment="1">
      <alignment horizontal="center" vertical="top"/>
    </xf>
    <xf numFmtId="165" fontId="5" fillId="0" borderId="5" xfId="17" applyFont="1" applyFill="1" applyBorder="1" applyAlignment="1" applyProtection="1">
      <alignment horizontal="center" vertical="top"/>
      <protection/>
    </xf>
    <xf numFmtId="164" fontId="4" fillId="0" borderId="6" xfId="0" applyFont="1" applyBorder="1" applyAlignment="1">
      <alignment vertical="top"/>
    </xf>
    <xf numFmtId="164" fontId="4" fillId="0" borderId="0" xfId="0" applyFont="1" applyAlignment="1">
      <alignment vertical="top"/>
    </xf>
    <xf numFmtId="164" fontId="0" fillId="0" borderId="0" xfId="0" applyAlignment="1">
      <alignment horizontal="center" vertical="center"/>
    </xf>
    <xf numFmtId="164" fontId="3" fillId="0" borderId="7" xfId="0" applyFont="1" applyBorder="1" applyAlignment="1">
      <alignment horizontal="center" vertical="top"/>
    </xf>
    <xf numFmtId="171" fontId="0" fillId="2" borderId="3" xfId="0" applyNumberFormat="1" applyFill="1" applyBorder="1" applyAlignment="1">
      <alignment horizontal="center" vertical="top"/>
    </xf>
    <xf numFmtId="164" fontId="2" fillId="2" borderId="3" xfId="0" applyFont="1" applyFill="1" applyBorder="1" applyAlignment="1">
      <alignment horizontal="center" vertical="top"/>
    </xf>
    <xf numFmtId="164" fontId="0" fillId="2" borderId="3" xfId="0" applyFont="1" applyFill="1" applyBorder="1" applyAlignment="1">
      <alignment vertical="top"/>
    </xf>
    <xf numFmtId="164" fontId="0" fillId="0" borderId="3" xfId="0" applyFont="1" applyFill="1" applyBorder="1" applyAlignment="1">
      <alignment vertical="top"/>
    </xf>
    <xf numFmtId="172" fontId="0" fillId="0" borderId="3" xfId="17" applyNumberFormat="1" applyFont="1" applyFill="1" applyBorder="1" applyAlignment="1" applyProtection="1">
      <alignment vertical="center" wrapText="1"/>
      <protection/>
    </xf>
    <xf numFmtId="172" fontId="0" fillId="0" borderId="3" xfId="17" applyNumberFormat="1" applyFont="1" applyFill="1" applyBorder="1" applyAlignment="1" applyProtection="1">
      <alignment vertical="top"/>
      <protection/>
    </xf>
    <xf numFmtId="164" fontId="2" fillId="2" borderId="3" xfId="0" applyFont="1" applyFill="1" applyBorder="1" applyAlignment="1">
      <alignment horizontal="left" vertical="top"/>
    </xf>
    <xf numFmtId="166" fontId="0" fillId="2" borderId="3" xfId="0" applyNumberFormat="1" applyFill="1" applyBorder="1" applyAlignment="1">
      <alignment horizontal="center" vertical="top"/>
    </xf>
    <xf numFmtId="165" fontId="0" fillId="2" borderId="3" xfId="17" applyNumberFormat="1" applyFont="1" applyFill="1" applyBorder="1" applyAlignment="1" applyProtection="1">
      <alignment vertical="top"/>
      <protection/>
    </xf>
    <xf numFmtId="172" fontId="0" fillId="2" borderId="3" xfId="17" applyNumberFormat="1" applyFont="1" applyFill="1" applyBorder="1" applyAlignment="1" applyProtection="1">
      <alignment vertical="top"/>
      <protection/>
    </xf>
    <xf numFmtId="172" fontId="0" fillId="0" borderId="3" xfId="17" applyNumberFormat="1" applyFont="1" applyFill="1" applyBorder="1" applyAlignment="1" applyProtection="1">
      <alignment horizontal="center" vertical="top"/>
      <protection/>
    </xf>
    <xf numFmtId="172" fontId="2" fillId="0" borderId="3" xfId="17" applyNumberFormat="1" applyFont="1" applyFill="1" applyBorder="1" applyAlignment="1" applyProtection="1">
      <alignment horizontal="center" vertical="top"/>
      <protection/>
    </xf>
    <xf numFmtId="164" fontId="0" fillId="0" borderId="8" xfId="0" applyBorder="1" applyAlignment="1">
      <alignment vertical="top"/>
    </xf>
    <xf numFmtId="173" fontId="0" fillId="0" borderId="3" xfId="17" applyNumberFormat="1" applyFont="1" applyFill="1" applyBorder="1" applyAlignment="1" applyProtection="1">
      <alignment vertical="top"/>
      <protection/>
    </xf>
    <xf numFmtId="168" fontId="0" fillId="0" borderId="3" xfId="17" applyNumberFormat="1" applyFont="1" applyFill="1" applyBorder="1" applyAlignment="1" applyProtection="1">
      <alignment vertical="top"/>
      <protection/>
    </xf>
    <xf numFmtId="164" fontId="0" fillId="0" borderId="8" xfId="0" applyBorder="1" applyAlignment="1">
      <alignment vertical="center"/>
    </xf>
    <xf numFmtId="164" fontId="0" fillId="0" borderId="0" xfId="0" applyAlignment="1">
      <alignment vertical="center"/>
    </xf>
    <xf numFmtId="164" fontId="6" fillId="2" borderId="3" xfId="0" applyFont="1" applyFill="1" applyBorder="1" applyAlignment="1">
      <alignment horizontal="right" vertical="top"/>
    </xf>
    <xf numFmtId="174" fontId="0" fillId="2" borderId="3" xfId="17" applyNumberFormat="1" applyFont="1" applyFill="1" applyBorder="1" applyAlignment="1" applyProtection="1">
      <alignment vertical="top"/>
      <protection/>
    </xf>
    <xf numFmtId="172" fontId="2" fillId="0" borderId="3" xfId="17" applyNumberFormat="1" applyFont="1" applyFill="1" applyBorder="1" applyAlignment="1" applyProtection="1">
      <alignment vertical="center" wrapText="1"/>
      <protection/>
    </xf>
    <xf numFmtId="164" fontId="0" fillId="0" borderId="6" xfId="0" applyBorder="1" applyAlignment="1">
      <alignment vertical="top"/>
    </xf>
    <xf numFmtId="164" fontId="0" fillId="0" borderId="0" xfId="0" applyFill="1" applyAlignment="1">
      <alignment horizontal="center" vertical="center"/>
    </xf>
    <xf numFmtId="164" fontId="3" fillId="3" borderId="7" xfId="0" applyFont="1" applyFill="1" applyBorder="1" applyAlignment="1">
      <alignment horizontal="center" vertical="top"/>
    </xf>
    <xf numFmtId="164" fontId="7" fillId="3" borderId="7" xfId="0" applyFont="1" applyFill="1" applyBorder="1" applyAlignment="1">
      <alignment horizontal="left" vertical="center"/>
    </xf>
    <xf numFmtId="164" fontId="0" fillId="3" borderId="3" xfId="0" applyFont="1" applyFill="1" applyBorder="1" applyAlignment="1">
      <alignment vertical="top"/>
    </xf>
    <xf numFmtId="172" fontId="0" fillId="3" borderId="3" xfId="17" applyNumberFormat="1" applyFont="1" applyFill="1" applyBorder="1" applyAlignment="1" applyProtection="1">
      <alignment vertical="center" wrapText="1"/>
      <protection/>
    </xf>
    <xf numFmtId="172" fontId="0" fillId="3" borderId="3" xfId="17" applyNumberFormat="1" applyFont="1" applyFill="1" applyBorder="1" applyAlignment="1" applyProtection="1">
      <alignment vertical="top"/>
      <protection/>
    </xf>
    <xf numFmtId="164" fontId="2" fillId="3" borderId="3" xfId="0" applyFont="1" applyFill="1" applyBorder="1" applyAlignment="1">
      <alignment horizontal="left" vertical="top"/>
    </xf>
    <xf numFmtId="166" fontId="0" fillId="3" borderId="3" xfId="0" applyNumberFormat="1" applyFill="1" applyBorder="1" applyAlignment="1">
      <alignment horizontal="center" vertical="top"/>
    </xf>
    <xf numFmtId="165" fontId="0" fillId="3" borderId="3" xfId="17" applyNumberFormat="1" applyFont="1" applyFill="1" applyBorder="1" applyAlignment="1" applyProtection="1">
      <alignment vertical="top"/>
      <protection/>
    </xf>
    <xf numFmtId="172" fontId="2" fillId="3" borderId="3" xfId="17" applyNumberFormat="1" applyFont="1" applyFill="1" applyBorder="1" applyAlignment="1" applyProtection="1">
      <alignment horizontal="center" vertical="top"/>
      <protection/>
    </xf>
    <xf numFmtId="164" fontId="0" fillId="3" borderId="8" xfId="0" applyFill="1" applyBorder="1" applyAlignment="1">
      <alignment vertical="top"/>
    </xf>
    <xf numFmtId="173" fontId="0" fillId="3" borderId="3" xfId="17" applyNumberFormat="1" applyFont="1" applyFill="1" applyBorder="1" applyAlignment="1" applyProtection="1">
      <alignment vertical="top"/>
      <protection/>
    </xf>
    <xf numFmtId="168" fontId="0" fillId="3" borderId="3" xfId="17" applyNumberFormat="1" applyFont="1" applyFill="1" applyBorder="1" applyAlignment="1" applyProtection="1">
      <alignment vertical="top"/>
      <protection/>
    </xf>
    <xf numFmtId="164" fontId="0" fillId="0" borderId="6" xfId="0" applyFill="1" applyBorder="1" applyAlignment="1">
      <alignment vertical="top"/>
    </xf>
    <xf numFmtId="171" fontId="0" fillId="3" borderId="3" xfId="0" applyNumberFormat="1" applyFill="1" applyBorder="1" applyAlignment="1">
      <alignment horizontal="center" vertical="top"/>
    </xf>
    <xf numFmtId="164" fontId="2" fillId="3" borderId="3" xfId="0" applyFont="1" applyFill="1" applyBorder="1" applyAlignment="1">
      <alignment horizontal="center" vertical="top"/>
    </xf>
    <xf numFmtId="172" fontId="2" fillId="3" borderId="3" xfId="17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Fill="1" applyBorder="1" applyAlignment="1">
      <alignment horizontal="center" vertical="top"/>
    </xf>
    <xf numFmtId="171" fontId="7" fillId="3" borderId="3" xfId="0" applyNumberFormat="1" applyFont="1" applyFill="1" applyBorder="1" applyAlignment="1">
      <alignment horizontal="left" vertical="center"/>
    </xf>
    <xf numFmtId="164" fontId="0" fillId="3" borderId="5" xfId="0" applyFill="1" applyBorder="1" applyAlignment="1">
      <alignment vertical="top"/>
    </xf>
    <xf numFmtId="165" fontId="0" fillId="3" borderId="5" xfId="17" applyFont="1" applyFill="1" applyBorder="1" applyAlignment="1" applyProtection="1">
      <alignment vertical="center" wrapText="1"/>
      <protection/>
    </xf>
    <xf numFmtId="165" fontId="0" fillId="3" borderId="5" xfId="17" applyFont="1" applyFill="1" applyBorder="1" applyAlignment="1" applyProtection="1">
      <alignment vertical="top"/>
      <protection/>
    </xf>
    <xf numFmtId="164" fontId="6" fillId="3" borderId="3" xfId="0" applyFont="1" applyFill="1" applyBorder="1" applyAlignment="1">
      <alignment horizontal="right" vertical="top"/>
    </xf>
    <xf numFmtId="165" fontId="2" fillId="3" borderId="5" xfId="17" applyFont="1" applyFill="1" applyBorder="1" applyAlignment="1" applyProtection="1">
      <alignment horizontal="center" vertical="top"/>
      <protection/>
    </xf>
    <xf numFmtId="164" fontId="0" fillId="3" borderId="6" xfId="0" applyFill="1" applyBorder="1" applyAlignment="1">
      <alignment vertical="top"/>
    </xf>
    <xf numFmtId="168" fontId="0" fillId="3" borderId="5" xfId="17" applyNumberFormat="1" applyFont="1" applyFill="1" applyBorder="1" applyAlignment="1" applyProtection="1">
      <alignment vertical="top"/>
      <protection/>
    </xf>
    <xf numFmtId="164" fontId="0" fillId="0" borderId="5" xfId="0" applyFill="1" applyBorder="1" applyAlignment="1">
      <alignment vertical="top"/>
    </xf>
    <xf numFmtId="165" fontId="0" fillId="0" borderId="5" xfId="17" applyFont="1" applyFill="1" applyBorder="1" applyAlignment="1" applyProtection="1">
      <alignment vertical="center" wrapText="1"/>
      <protection/>
    </xf>
    <xf numFmtId="165" fontId="0" fillId="0" borderId="5" xfId="17" applyFont="1" applyFill="1" applyBorder="1" applyAlignment="1" applyProtection="1">
      <alignment vertical="top"/>
      <protection/>
    </xf>
    <xf numFmtId="175" fontId="0" fillId="0" borderId="5" xfId="17" applyNumberFormat="1" applyFont="1" applyFill="1" applyBorder="1" applyAlignment="1" applyProtection="1">
      <alignment vertical="top"/>
      <protection/>
    </xf>
    <xf numFmtId="168" fontId="0" fillId="0" borderId="5" xfId="17" applyNumberFormat="1" applyFont="1" applyFill="1" applyBorder="1" applyAlignment="1" applyProtection="1">
      <alignment vertical="top"/>
      <protection/>
    </xf>
    <xf numFmtId="164" fontId="3" fillId="3" borderId="7" xfId="0" applyFont="1" applyFill="1" applyBorder="1" applyAlignment="1">
      <alignment horizontal="center" vertical="center"/>
    </xf>
    <xf numFmtId="171" fontId="8" fillId="3" borderId="3" xfId="0" applyNumberFormat="1" applyFont="1" applyFill="1" applyBorder="1" applyAlignment="1">
      <alignment horizontal="center" vertical="center"/>
    </xf>
    <xf numFmtId="171" fontId="2" fillId="3" borderId="3" xfId="0" applyNumberFormat="1" applyFont="1" applyFill="1" applyBorder="1" applyAlignment="1">
      <alignment horizontal="center" vertical="center"/>
    </xf>
    <xf numFmtId="171" fontId="2" fillId="3" borderId="3" xfId="0" applyNumberFormat="1" applyFont="1" applyFill="1" applyBorder="1" applyAlignment="1">
      <alignment horizontal="left" vertical="center"/>
    </xf>
    <xf numFmtId="164" fontId="0" fillId="3" borderId="3" xfId="0" applyFont="1" applyFill="1" applyBorder="1" applyAlignment="1">
      <alignment vertical="center"/>
    </xf>
    <xf numFmtId="172" fontId="0" fillId="3" borderId="3" xfId="17" applyNumberFormat="1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165" fontId="0" fillId="3" borderId="3" xfId="17" applyNumberFormat="1" applyFont="1" applyFill="1" applyBorder="1" applyAlignment="1" applyProtection="1">
      <alignment vertical="center"/>
      <protection/>
    </xf>
    <xf numFmtId="164" fontId="2" fillId="3" borderId="3" xfId="0" applyFont="1" applyFill="1" applyBorder="1" applyAlignment="1">
      <alignment horizontal="center" vertical="center"/>
    </xf>
    <xf numFmtId="173" fontId="0" fillId="3" borderId="3" xfId="17" applyNumberFormat="1" applyFont="1" applyFill="1" applyBorder="1" applyAlignment="1" applyProtection="1">
      <alignment vertical="center"/>
      <protection/>
    </xf>
    <xf numFmtId="168" fontId="0" fillId="3" borderId="3" xfId="17" applyNumberFormat="1" applyFont="1" applyFill="1" applyBorder="1" applyAlignment="1" applyProtection="1">
      <alignment vertical="center"/>
      <protection/>
    </xf>
    <xf numFmtId="173" fontId="1" fillId="3" borderId="3" xfId="17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center" vertical="center"/>
    </xf>
    <xf numFmtId="171" fontId="7" fillId="3" borderId="3" xfId="0" applyNumberFormat="1" applyFont="1" applyFill="1" applyBorder="1" applyAlignment="1">
      <alignment horizontal="center" vertical="center"/>
    </xf>
    <xf numFmtId="172" fontId="1" fillId="3" borderId="3" xfId="17" applyNumberFormat="1" applyFont="1" applyFill="1" applyBorder="1" applyAlignment="1" applyProtection="1">
      <alignment horizontal="center" vertical="center" wrapText="1"/>
      <protection/>
    </xf>
    <xf numFmtId="164" fontId="0" fillId="3" borderId="6" xfId="0" applyFont="1" applyFill="1" applyBorder="1" applyAlignment="1">
      <alignment vertical="top"/>
    </xf>
    <xf numFmtId="172" fontId="1" fillId="3" borderId="3" xfId="17" applyNumberFormat="1" applyFont="1" applyFill="1" applyBorder="1" applyAlignment="1" applyProtection="1">
      <alignment vertical="center"/>
      <protection/>
    </xf>
    <xf numFmtId="164" fontId="0" fillId="0" borderId="8" xfId="0" applyFont="1" applyBorder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0" fillId="0" borderId="7" xfId="0" applyBorder="1" applyAlignment="1">
      <alignment vertical="top"/>
    </xf>
    <xf numFmtId="170" fontId="0" fillId="0" borderId="3" xfId="0" applyNumberForma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0" fillId="0" borderId="3" xfId="0" applyBorder="1" applyAlignment="1">
      <alignment vertical="top"/>
    </xf>
    <xf numFmtId="164" fontId="0" fillId="0" borderId="3" xfId="0" applyFill="1" applyBorder="1" applyAlignment="1">
      <alignment vertical="top"/>
    </xf>
    <xf numFmtId="165" fontId="0" fillId="0" borderId="3" xfId="17" applyFont="1" applyFill="1" applyBorder="1" applyAlignment="1" applyProtection="1">
      <alignment vertical="center" wrapText="1"/>
      <protection/>
    </xf>
    <xf numFmtId="165" fontId="0" fillId="0" borderId="3" xfId="17" applyFont="1" applyFill="1" applyBorder="1" applyAlignment="1" applyProtection="1">
      <alignment vertical="top"/>
      <protection/>
    </xf>
    <xf numFmtId="164" fontId="0" fillId="0" borderId="3" xfId="0" applyBorder="1" applyAlignment="1">
      <alignment horizontal="center" vertical="top"/>
    </xf>
    <xf numFmtId="166" fontId="0" fillId="0" borderId="3" xfId="0" applyNumberFormat="1" applyBorder="1" applyAlignment="1">
      <alignment horizontal="center" vertical="top"/>
    </xf>
    <xf numFmtId="165" fontId="2" fillId="0" borderId="3" xfId="17" applyFont="1" applyFill="1" applyBorder="1" applyAlignment="1" applyProtection="1">
      <alignment horizontal="center" vertical="top"/>
      <protection/>
    </xf>
    <xf numFmtId="164" fontId="9" fillId="0" borderId="0" xfId="0" applyFont="1" applyBorder="1" applyAlignment="1">
      <alignment horizontal="center" vertical="top"/>
    </xf>
    <xf numFmtId="164" fontId="9" fillId="0" borderId="7" xfId="0" applyFont="1" applyBorder="1" applyAlignment="1">
      <alignment vertical="top"/>
    </xf>
    <xf numFmtId="164" fontId="8" fillId="0" borderId="3" xfId="0" applyFont="1" applyBorder="1" applyAlignment="1">
      <alignment vertical="top"/>
    </xf>
    <xf numFmtId="164" fontId="8" fillId="0" borderId="3" xfId="0" applyFont="1" applyBorder="1" applyAlignment="1">
      <alignment horizontal="center" vertical="top"/>
    </xf>
    <xf numFmtId="164" fontId="9" fillId="0" borderId="3" xfId="0" applyFont="1" applyBorder="1" applyAlignment="1">
      <alignment vertical="top"/>
    </xf>
    <xf numFmtId="164" fontId="9" fillId="0" borderId="3" xfId="0" applyFont="1" applyFill="1" applyBorder="1" applyAlignment="1">
      <alignment vertical="top"/>
    </xf>
    <xf numFmtId="165" fontId="9" fillId="0" borderId="3" xfId="17" applyFont="1" applyFill="1" applyBorder="1" applyAlignment="1" applyProtection="1">
      <alignment vertical="center" wrapText="1"/>
      <protection/>
    </xf>
    <xf numFmtId="165" fontId="9" fillId="0" borderId="3" xfId="17" applyFont="1" applyFill="1" applyBorder="1" applyAlignment="1" applyProtection="1">
      <alignment vertical="top"/>
      <protection/>
    </xf>
    <xf numFmtId="164" fontId="9" fillId="0" borderId="3" xfId="0" applyFont="1" applyBorder="1" applyAlignment="1">
      <alignment horizontal="center" vertical="top"/>
    </xf>
    <xf numFmtId="166" fontId="9" fillId="0" borderId="3" xfId="0" applyNumberFormat="1" applyFont="1" applyBorder="1" applyAlignment="1">
      <alignment horizontal="center" vertical="top"/>
    </xf>
    <xf numFmtId="175" fontId="9" fillId="0" borderId="3" xfId="17" applyNumberFormat="1" applyFont="1" applyFill="1" applyBorder="1" applyAlignment="1" applyProtection="1">
      <alignment vertical="top"/>
      <protection/>
    </xf>
    <xf numFmtId="176" fontId="8" fillId="0" borderId="3" xfId="17" applyNumberFormat="1" applyFont="1" applyFill="1" applyBorder="1" applyAlignment="1" applyProtection="1">
      <alignment vertical="top"/>
      <protection/>
    </xf>
    <xf numFmtId="165" fontId="9" fillId="0" borderId="3" xfId="17" applyFont="1" applyFill="1" applyBorder="1" applyAlignment="1" applyProtection="1">
      <alignment horizontal="center" vertical="top"/>
      <protection/>
    </xf>
    <xf numFmtId="164" fontId="9" fillId="0" borderId="8" xfId="0" applyFont="1" applyBorder="1" applyAlignment="1">
      <alignment vertical="top"/>
    </xf>
    <xf numFmtId="164" fontId="9" fillId="0" borderId="9" xfId="0" applyFont="1" applyBorder="1" applyAlignment="1">
      <alignment vertical="top"/>
    </xf>
    <xf numFmtId="164" fontId="9" fillId="0" borderId="0" xfId="0" applyFont="1" applyAlignment="1">
      <alignment horizontal="center" vertical="top"/>
    </xf>
    <xf numFmtId="164" fontId="8" fillId="0" borderId="3" xfId="0" applyFont="1" applyFill="1" applyBorder="1" applyAlignment="1">
      <alignment vertical="top"/>
    </xf>
    <xf numFmtId="165" fontId="8" fillId="0" borderId="3" xfId="17" applyFont="1" applyFill="1" applyBorder="1" applyAlignment="1" applyProtection="1">
      <alignment vertical="center" wrapText="1"/>
      <protection/>
    </xf>
    <xf numFmtId="165" fontId="8" fillId="0" borderId="3" xfId="17" applyFont="1" applyFill="1" applyBorder="1" applyAlignment="1" applyProtection="1">
      <alignment vertical="top"/>
      <protection/>
    </xf>
    <xf numFmtId="166" fontId="8" fillId="0" borderId="3" xfId="0" applyNumberFormat="1" applyFont="1" applyBorder="1" applyAlignment="1">
      <alignment horizontal="center" vertical="top"/>
    </xf>
    <xf numFmtId="164" fontId="8" fillId="0" borderId="3" xfId="17" applyNumberFormat="1" applyFont="1" applyFill="1" applyBorder="1" applyAlignment="1" applyProtection="1">
      <alignment horizontal="right" vertical="center"/>
      <protection/>
    </xf>
    <xf numFmtId="164" fontId="8" fillId="0" borderId="3" xfId="17" applyNumberFormat="1" applyFont="1" applyFill="1" applyBorder="1" applyAlignment="1" applyProtection="1">
      <alignment horizontal="center" vertical="top"/>
      <protection/>
    </xf>
    <xf numFmtId="164" fontId="9" fillId="0" borderId="0" xfId="0" applyFont="1" applyAlignment="1">
      <alignment vertical="top"/>
    </xf>
    <xf numFmtId="164" fontId="10" fillId="0" borderId="3" xfId="0" applyFont="1" applyBorder="1" applyAlignment="1">
      <alignment horizontal="left" vertical="center"/>
    </xf>
    <xf numFmtId="164" fontId="8" fillId="0" borderId="3" xfId="0" applyFont="1" applyBorder="1" applyAlignment="1">
      <alignment horizontal="right" vertical="center"/>
    </xf>
    <xf numFmtId="164" fontId="8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9" fillId="0" borderId="10" xfId="0" applyFont="1" applyBorder="1" applyAlignment="1">
      <alignment vertical="top"/>
    </xf>
    <xf numFmtId="164" fontId="9" fillId="0" borderId="3" xfId="17" applyNumberFormat="1" applyFont="1" applyFill="1" applyBorder="1" applyAlignment="1" applyProtection="1">
      <alignment vertical="top"/>
      <protection/>
    </xf>
    <xf numFmtId="177" fontId="8" fillId="0" borderId="3" xfId="17" applyNumberFormat="1" applyFont="1" applyFill="1" applyBorder="1" applyAlignment="1" applyProtection="1">
      <alignment horizontal="center" vertical="top"/>
      <protection/>
    </xf>
    <xf numFmtId="165" fontId="0" fillId="0" borderId="3" xfId="17" applyFont="1" applyFill="1" applyBorder="1" applyAlignment="1" applyProtection="1">
      <alignment horizontal="center" vertical="top"/>
      <protection/>
    </xf>
    <xf numFmtId="164" fontId="11" fillId="0" borderId="0" xfId="0" applyFont="1" applyAlignment="1">
      <alignment horizontal="center" vertical="top"/>
    </xf>
    <xf numFmtId="164" fontId="11" fillId="0" borderId="7" xfId="0" applyFont="1" applyBorder="1" applyAlignment="1">
      <alignment vertical="top"/>
    </xf>
    <xf numFmtId="164" fontId="12" fillId="0" borderId="3" xfId="0" applyFont="1" applyBorder="1" applyAlignment="1">
      <alignment vertical="top"/>
    </xf>
    <xf numFmtId="164" fontId="1" fillId="0" borderId="3" xfId="0" applyFont="1" applyBorder="1" applyAlignment="1">
      <alignment horizontal="left" vertical="top"/>
    </xf>
    <xf numFmtId="164" fontId="11" fillId="0" borderId="3" xfId="0" applyFont="1" applyBorder="1" applyAlignment="1">
      <alignment horizontal="left" vertical="top"/>
    </xf>
    <xf numFmtId="164" fontId="11" fillId="0" borderId="0" xfId="0" applyFont="1" applyAlignment="1">
      <alignment vertical="top"/>
    </xf>
    <xf numFmtId="164" fontId="0" fillId="0" borderId="11" xfId="0" applyBorder="1" applyAlignment="1">
      <alignment vertical="top"/>
    </xf>
    <xf numFmtId="164" fontId="0" fillId="0" borderId="12" xfId="0" applyBorder="1" applyAlignment="1">
      <alignment vertical="top"/>
    </xf>
    <xf numFmtId="164" fontId="2" fillId="0" borderId="12" xfId="0" applyFont="1" applyBorder="1" applyAlignment="1">
      <alignment horizontal="center" vertical="top"/>
    </xf>
    <xf numFmtId="164" fontId="0" fillId="0" borderId="12" xfId="0" applyFill="1" applyBorder="1" applyAlignment="1">
      <alignment vertical="top"/>
    </xf>
    <xf numFmtId="165" fontId="0" fillId="0" borderId="12" xfId="17" applyFont="1" applyFill="1" applyBorder="1" applyAlignment="1" applyProtection="1">
      <alignment vertical="center" wrapText="1"/>
      <protection/>
    </xf>
    <xf numFmtId="165" fontId="0" fillId="0" borderId="12" xfId="17" applyFont="1" applyFill="1" applyBorder="1" applyAlignment="1" applyProtection="1">
      <alignment vertical="top"/>
      <protection/>
    </xf>
    <xf numFmtId="164" fontId="0" fillId="0" borderId="12" xfId="0" applyBorder="1" applyAlignment="1">
      <alignment horizontal="center" vertical="top"/>
    </xf>
    <xf numFmtId="166" fontId="0" fillId="0" borderId="12" xfId="0" applyNumberFormat="1" applyBorder="1" applyAlignment="1">
      <alignment horizontal="center" vertical="top"/>
    </xf>
    <xf numFmtId="165" fontId="0" fillId="0" borderId="12" xfId="17" applyFont="1" applyFill="1" applyBorder="1" applyAlignment="1" applyProtection="1">
      <alignment horizontal="center" vertical="top"/>
      <protection/>
    </xf>
    <xf numFmtId="164" fontId="0" fillId="0" borderId="13" xfId="0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penPositio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="75" zoomScaleNormal="75" zoomScaleSheetLayoutView="85" workbookViewId="0" topLeftCell="A1">
      <pane xSplit="5" ySplit="4" topLeftCell="H44" activePane="bottomRight" state="frozen"/>
      <selection pane="topLeft" activeCell="A1" sqref="A1"/>
      <selection pane="topRight" activeCell="H1" sqref="H1"/>
      <selection pane="bottomLeft" activeCell="A44" sqref="A44"/>
      <selection pane="bottomRight" activeCell="M54" sqref="M54"/>
    </sheetView>
  </sheetViews>
  <sheetFormatPr defaultColWidth="9.140625" defaultRowHeight="12.75"/>
  <cols>
    <col min="1" max="1" width="2.8515625" style="1" customWidth="1"/>
    <col min="2" max="2" width="6.57421875" style="2" customWidth="1"/>
    <col min="3" max="3" width="11.28125" style="2" customWidth="1"/>
    <col min="4" max="4" width="7.421875" style="3" customWidth="1"/>
    <col min="5" max="5" width="13.7109375" style="2" customWidth="1"/>
    <col min="6" max="6" width="2.00390625" style="4" customWidth="1"/>
    <col min="7" max="7" width="23.140625" style="5" customWidth="1"/>
    <col min="8" max="8" width="1.1484375" style="6" customWidth="1"/>
    <col min="9" max="9" width="7.140625" style="1" customWidth="1"/>
    <col min="10" max="10" width="8.00390625" style="7" customWidth="1"/>
    <col min="11" max="11" width="8.8515625" style="6" customWidth="1"/>
    <col min="12" max="13" width="10.421875" style="6" customWidth="1"/>
    <col min="14" max="14" width="7.57421875" style="6" customWidth="1"/>
    <col min="15" max="15" width="9.140625" style="6" customWidth="1"/>
    <col min="16" max="16" width="10.421875" style="6" customWidth="1"/>
    <col min="17" max="17" width="11.7109375" style="6" customWidth="1"/>
    <col min="18" max="18" width="10.7109375" style="6" customWidth="1"/>
    <col min="19" max="19" width="9.28125" style="8" customWidth="1"/>
    <col min="20" max="20" width="2.140625" style="2" customWidth="1"/>
    <col min="21" max="21" width="12.28125" style="6" customWidth="1"/>
    <col min="22" max="23" width="10.8515625" style="6" customWidth="1"/>
    <col min="24" max="24" width="11.8515625" style="6" customWidth="1"/>
    <col min="25" max="25" width="10.57421875" style="6" customWidth="1"/>
    <col min="26" max="26" width="2.140625" style="2" customWidth="1"/>
    <col min="27" max="27" width="9.28125" style="2" customWidth="1"/>
    <col min="28" max="248" width="9.00390625" style="2" customWidth="1"/>
  </cols>
  <sheetData>
    <row r="1" spans="1:37" s="9" customFormat="1" ht="52.5" customHeight="1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2" t="s">
        <v>0</v>
      </c>
      <c r="G1" s="11" t="s">
        <v>5</v>
      </c>
      <c r="H1" s="13" t="s">
        <v>0</v>
      </c>
      <c r="I1" s="14" t="s">
        <v>6</v>
      </c>
      <c r="J1" s="14"/>
      <c r="K1" s="14"/>
      <c r="L1" s="14"/>
      <c r="M1" s="15" t="s">
        <v>7</v>
      </c>
      <c r="N1" s="15"/>
      <c r="O1" s="15"/>
      <c r="P1" s="15"/>
      <c r="Q1" s="16" t="s">
        <v>8</v>
      </c>
      <c r="R1" s="16"/>
      <c r="S1" s="16" t="s">
        <v>9</v>
      </c>
      <c r="T1" s="13" t="s">
        <v>0</v>
      </c>
      <c r="U1" s="17" t="s">
        <v>10</v>
      </c>
      <c r="V1" s="17"/>
      <c r="W1" s="17"/>
      <c r="X1" s="17"/>
      <c r="Y1" s="17"/>
      <c r="Z1" s="13" t="s">
        <v>0</v>
      </c>
      <c r="AC1" s="18"/>
      <c r="AD1" s="18"/>
      <c r="AE1" s="18"/>
      <c r="AF1" s="18"/>
      <c r="AG1" s="18"/>
      <c r="AH1" s="18"/>
      <c r="AI1" s="18"/>
      <c r="AJ1" s="18"/>
      <c r="AK1" s="18"/>
    </row>
    <row r="2" spans="2:37" s="9" customFormat="1" ht="33.75" customHeight="1">
      <c r="B2" s="10"/>
      <c r="C2" s="11"/>
      <c r="D2" s="11"/>
      <c r="E2" s="11"/>
      <c r="F2" s="12"/>
      <c r="G2" s="11"/>
      <c r="H2" s="11"/>
      <c r="I2" s="19" t="s">
        <v>11</v>
      </c>
      <c r="J2" s="19"/>
      <c r="K2" s="19"/>
      <c r="L2" s="19"/>
      <c r="M2" s="13" t="s">
        <v>12</v>
      </c>
      <c r="N2" s="13" t="s">
        <v>13</v>
      </c>
      <c r="O2" s="13" t="s">
        <v>14</v>
      </c>
      <c r="P2" s="13" t="s">
        <v>15</v>
      </c>
      <c r="Q2" s="20" t="s">
        <v>16</v>
      </c>
      <c r="R2" s="20" t="s">
        <v>17</v>
      </c>
      <c r="S2" s="16"/>
      <c r="T2" s="13"/>
      <c r="U2" s="13" t="s">
        <v>18</v>
      </c>
      <c r="V2" s="13" t="s">
        <v>19</v>
      </c>
      <c r="W2" s="13" t="s">
        <v>20</v>
      </c>
      <c r="X2" s="13" t="s">
        <v>21</v>
      </c>
      <c r="Y2" s="13" t="s">
        <v>22</v>
      </c>
      <c r="Z2" s="13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21" customFormat="1" ht="38.25">
      <c r="B3" s="10"/>
      <c r="C3" s="11"/>
      <c r="D3" s="11"/>
      <c r="E3" s="11"/>
      <c r="F3" s="12"/>
      <c r="G3" s="11"/>
      <c r="H3" s="11"/>
      <c r="I3" s="22" t="s">
        <v>23</v>
      </c>
      <c r="J3" s="23" t="s">
        <v>24</v>
      </c>
      <c r="K3" s="24" t="s">
        <v>25</v>
      </c>
      <c r="L3" s="24" t="s">
        <v>26</v>
      </c>
      <c r="M3" s="13"/>
      <c r="N3" s="13"/>
      <c r="O3" s="13"/>
      <c r="P3" s="13"/>
      <c r="Q3" s="20"/>
      <c r="R3" s="20"/>
      <c r="S3" s="16"/>
      <c r="T3" s="13"/>
      <c r="U3" s="13"/>
      <c r="V3" s="13"/>
      <c r="W3" s="13"/>
      <c r="X3" s="13"/>
      <c r="Y3" s="13"/>
      <c r="Z3" s="13"/>
      <c r="AC3" s="25"/>
      <c r="AD3" s="25"/>
      <c r="AE3" s="25"/>
      <c r="AF3" s="25"/>
      <c r="AG3" s="25"/>
      <c r="AH3" s="26"/>
      <c r="AI3" s="27"/>
      <c r="AJ3" s="25"/>
      <c r="AK3" s="28"/>
    </row>
    <row r="4" spans="1:26" s="41" customFormat="1" ht="14.25">
      <c r="A4" s="29"/>
      <c r="B4" s="30"/>
      <c r="C4" s="31"/>
      <c r="D4" s="32"/>
      <c r="E4" s="33"/>
      <c r="F4" s="34"/>
      <c r="G4" s="35"/>
      <c r="H4" s="36"/>
      <c r="I4" s="37"/>
      <c r="J4" s="38"/>
      <c r="K4" s="36"/>
      <c r="L4" s="36"/>
      <c r="M4" s="36"/>
      <c r="N4" s="36"/>
      <c r="O4" s="36"/>
      <c r="P4" s="36"/>
      <c r="Q4" s="36"/>
      <c r="R4" s="36"/>
      <c r="S4" s="39"/>
      <c r="T4" s="40"/>
      <c r="U4" s="36"/>
      <c r="V4" s="36"/>
      <c r="W4" s="36"/>
      <c r="X4" s="36"/>
      <c r="Y4" s="36"/>
      <c r="Z4" s="40"/>
    </row>
    <row r="5" spans="1:26" s="60" customFormat="1" ht="74.25">
      <c r="A5" s="42"/>
      <c r="B5" s="43">
        <v>1</v>
      </c>
      <c r="C5" s="44">
        <v>41746</v>
      </c>
      <c r="D5" s="45" t="s">
        <v>27</v>
      </c>
      <c r="E5" s="46" t="s">
        <v>28</v>
      </c>
      <c r="F5" s="47"/>
      <c r="G5" s="48" t="s">
        <v>29</v>
      </c>
      <c r="H5" s="49"/>
      <c r="I5" s="50" t="s">
        <v>30</v>
      </c>
      <c r="J5" s="51">
        <v>27400</v>
      </c>
      <c r="K5" s="52">
        <v>0.73</v>
      </c>
      <c r="L5" s="49">
        <f aca="true" t="shared" si="0" ref="L5:L13">K5*J5</f>
        <v>20002</v>
      </c>
      <c r="M5" s="53">
        <v>20</v>
      </c>
      <c r="N5" s="53"/>
      <c r="O5" s="49">
        <f aca="true" t="shared" si="1" ref="O5:O9">SUM(M5:N5)</f>
        <v>20</v>
      </c>
      <c r="P5" s="49">
        <f aca="true" t="shared" si="2" ref="P5:P13">IF(I5="sell",L5-O5,IF(I5="buy",L5+O5))</f>
        <v>20022</v>
      </c>
      <c r="Q5" s="54" t="s">
        <v>31</v>
      </c>
      <c r="R5" s="54" t="s">
        <v>31</v>
      </c>
      <c r="S5" s="55" t="s">
        <v>32</v>
      </c>
      <c r="T5" s="56"/>
      <c r="U5" s="57">
        <v>100000</v>
      </c>
      <c r="V5" s="57">
        <f aca="true" t="shared" si="3" ref="V5:V13">P5</f>
        <v>20022</v>
      </c>
      <c r="W5" s="57">
        <f aca="true" t="shared" si="4" ref="W5:W13">IF(I5="buy",U5-V5,IF(I5="sell",U5+V5))</f>
        <v>79978</v>
      </c>
      <c r="X5" s="58"/>
      <c r="Y5" s="58"/>
      <c r="Z5" s="59"/>
    </row>
    <row r="6" spans="1:26" s="60" customFormat="1" ht="26.25">
      <c r="A6" s="42"/>
      <c r="B6" s="43">
        <v>2</v>
      </c>
      <c r="C6" s="44">
        <v>41809</v>
      </c>
      <c r="D6" s="45" t="s">
        <v>33</v>
      </c>
      <c r="E6" s="46" t="s">
        <v>34</v>
      </c>
      <c r="F6" s="47"/>
      <c r="G6" s="48" t="s">
        <v>35</v>
      </c>
      <c r="H6" s="49"/>
      <c r="I6" s="50" t="s">
        <v>30</v>
      </c>
      <c r="J6" s="51">
        <v>2000</v>
      </c>
      <c r="K6" s="52">
        <v>9.73</v>
      </c>
      <c r="L6" s="49">
        <f t="shared" si="0"/>
        <v>19460</v>
      </c>
      <c r="M6" s="53">
        <v>20</v>
      </c>
      <c r="N6" s="53"/>
      <c r="O6" s="49">
        <f t="shared" si="1"/>
        <v>20</v>
      </c>
      <c r="P6" s="49">
        <f t="shared" si="2"/>
        <v>19480</v>
      </c>
      <c r="Q6" s="54" t="s">
        <v>31</v>
      </c>
      <c r="R6" s="54" t="s">
        <v>31</v>
      </c>
      <c r="S6" s="55" t="s">
        <v>32</v>
      </c>
      <c r="T6" s="56"/>
      <c r="U6" s="57">
        <f aca="true" t="shared" si="5" ref="U6:U13">W5</f>
        <v>79978</v>
      </c>
      <c r="V6" s="57">
        <f t="shared" si="3"/>
        <v>19480</v>
      </c>
      <c r="W6" s="57">
        <f t="shared" si="4"/>
        <v>60498</v>
      </c>
      <c r="X6" s="58"/>
      <c r="Y6" s="58"/>
      <c r="Z6" s="59"/>
    </row>
    <row r="7" spans="1:26" s="60" customFormat="1" ht="18.75">
      <c r="A7" s="42"/>
      <c r="B7" s="43">
        <v>2</v>
      </c>
      <c r="C7" s="44">
        <v>41830</v>
      </c>
      <c r="D7" s="45" t="s">
        <v>33</v>
      </c>
      <c r="E7" s="46" t="s">
        <v>34</v>
      </c>
      <c r="F7" s="47"/>
      <c r="G7" s="48" t="s">
        <v>36</v>
      </c>
      <c r="H7" s="49"/>
      <c r="I7" s="61" t="s">
        <v>37</v>
      </c>
      <c r="J7" s="51">
        <v>2000</v>
      </c>
      <c r="K7" s="52">
        <v>9.45</v>
      </c>
      <c r="L7" s="49">
        <f t="shared" si="0"/>
        <v>18900</v>
      </c>
      <c r="M7" s="53">
        <v>20</v>
      </c>
      <c r="N7" s="53"/>
      <c r="O7" s="49">
        <f t="shared" si="1"/>
        <v>20</v>
      </c>
      <c r="P7" s="49">
        <f t="shared" si="2"/>
        <v>18880</v>
      </c>
      <c r="Q7" s="49">
        <v>19480</v>
      </c>
      <c r="R7" s="49">
        <f>-Q7+P7</f>
        <v>-600</v>
      </c>
      <c r="S7" s="55" t="s">
        <v>38</v>
      </c>
      <c r="T7" s="56"/>
      <c r="U7" s="57">
        <f t="shared" si="5"/>
        <v>60498</v>
      </c>
      <c r="V7" s="57">
        <f t="shared" si="3"/>
        <v>18880</v>
      </c>
      <c r="W7" s="57">
        <f t="shared" si="4"/>
        <v>79378</v>
      </c>
      <c r="X7" s="58"/>
      <c r="Y7" s="58"/>
      <c r="Z7" s="59"/>
    </row>
    <row r="8" spans="1:26" s="60" customFormat="1" ht="26.25">
      <c r="A8" s="1"/>
      <c r="B8" s="43">
        <v>4</v>
      </c>
      <c r="C8" s="44">
        <v>41872</v>
      </c>
      <c r="D8" s="45" t="s">
        <v>39</v>
      </c>
      <c r="E8" s="46" t="s">
        <v>40</v>
      </c>
      <c r="F8" s="47"/>
      <c r="G8" s="48" t="s">
        <v>41</v>
      </c>
      <c r="H8" s="49"/>
      <c r="I8" s="50" t="s">
        <v>30</v>
      </c>
      <c r="J8" s="51">
        <v>3800</v>
      </c>
      <c r="K8" s="52">
        <v>5.28</v>
      </c>
      <c r="L8" s="49">
        <f t="shared" si="0"/>
        <v>20064</v>
      </c>
      <c r="M8" s="53">
        <v>20</v>
      </c>
      <c r="N8" s="53"/>
      <c r="O8" s="49">
        <f t="shared" si="1"/>
        <v>20</v>
      </c>
      <c r="P8" s="49">
        <f t="shared" si="2"/>
        <v>20084</v>
      </c>
      <c r="Q8" s="54" t="s">
        <v>31</v>
      </c>
      <c r="R8" s="54" t="s">
        <v>31</v>
      </c>
      <c r="S8" s="55" t="s">
        <v>32</v>
      </c>
      <c r="T8" s="56"/>
      <c r="U8" s="57">
        <f t="shared" si="5"/>
        <v>79378</v>
      </c>
      <c r="V8" s="57">
        <f t="shared" si="3"/>
        <v>20084</v>
      </c>
      <c r="W8" s="57">
        <f t="shared" si="4"/>
        <v>59294</v>
      </c>
      <c r="X8" s="58"/>
      <c r="Y8" s="58"/>
      <c r="Z8" s="59"/>
    </row>
    <row r="9" spans="1:26" s="60" customFormat="1" ht="26.25">
      <c r="A9" s="29"/>
      <c r="B9" s="43">
        <v>5</v>
      </c>
      <c r="C9" s="44">
        <v>41880</v>
      </c>
      <c r="D9" s="45" t="s">
        <v>42</v>
      </c>
      <c r="E9" s="46" t="s">
        <v>43</v>
      </c>
      <c r="F9" s="47"/>
      <c r="G9" s="48" t="s">
        <v>35</v>
      </c>
      <c r="H9" s="49"/>
      <c r="I9" s="50" t="s">
        <v>30</v>
      </c>
      <c r="J9" s="51">
        <v>900</v>
      </c>
      <c r="K9" s="52">
        <v>21.82</v>
      </c>
      <c r="L9" s="49">
        <f t="shared" si="0"/>
        <v>19638</v>
      </c>
      <c r="M9" s="53">
        <v>20</v>
      </c>
      <c r="N9" s="53"/>
      <c r="O9" s="49">
        <f t="shared" si="1"/>
        <v>20</v>
      </c>
      <c r="P9" s="49">
        <f t="shared" si="2"/>
        <v>19658</v>
      </c>
      <c r="Q9" s="54" t="s">
        <v>31</v>
      </c>
      <c r="R9" s="54" t="s">
        <v>31</v>
      </c>
      <c r="S9" s="55" t="s">
        <v>32</v>
      </c>
      <c r="T9" s="56"/>
      <c r="U9" s="57">
        <f t="shared" si="5"/>
        <v>59294</v>
      </c>
      <c r="V9" s="57">
        <f t="shared" si="3"/>
        <v>19658</v>
      </c>
      <c r="W9" s="57">
        <f t="shared" si="4"/>
        <v>39636</v>
      </c>
      <c r="X9" s="58"/>
      <c r="Y9" s="58"/>
      <c r="Z9" s="59"/>
    </row>
    <row r="10" spans="1:26" s="60" customFormat="1" ht="38.25">
      <c r="A10" s="42"/>
      <c r="B10" s="43">
        <v>1</v>
      </c>
      <c r="C10" s="44">
        <v>41929</v>
      </c>
      <c r="D10" s="45" t="s">
        <v>27</v>
      </c>
      <c r="E10" s="46" t="s">
        <v>28</v>
      </c>
      <c r="F10" s="47"/>
      <c r="G10" s="48" t="s">
        <v>44</v>
      </c>
      <c r="H10" s="49"/>
      <c r="I10" s="61" t="s">
        <v>37</v>
      </c>
      <c r="J10" s="51">
        <v>27400</v>
      </c>
      <c r="K10" s="62">
        <v>0.745</v>
      </c>
      <c r="L10" s="49">
        <f t="shared" si="0"/>
        <v>20413</v>
      </c>
      <c r="M10" s="53">
        <v>20</v>
      </c>
      <c r="N10" s="53"/>
      <c r="O10" s="49">
        <v>20</v>
      </c>
      <c r="P10" s="49">
        <f t="shared" si="2"/>
        <v>20393</v>
      </c>
      <c r="Q10" s="49">
        <v>20022</v>
      </c>
      <c r="R10" s="49">
        <f>-Q10+P10</f>
        <v>371</v>
      </c>
      <c r="S10" s="55" t="s">
        <v>45</v>
      </c>
      <c r="T10" s="56"/>
      <c r="U10" s="57">
        <f t="shared" si="5"/>
        <v>39636</v>
      </c>
      <c r="V10" s="57">
        <f t="shared" si="3"/>
        <v>20393</v>
      </c>
      <c r="W10" s="57">
        <f t="shared" si="4"/>
        <v>60029</v>
      </c>
      <c r="X10" s="58"/>
      <c r="Y10" s="58"/>
      <c r="Z10" s="59"/>
    </row>
    <row r="11" spans="1:28" s="60" customFormat="1" ht="74.25">
      <c r="A11" s="42"/>
      <c r="B11" s="43">
        <v>4</v>
      </c>
      <c r="C11" s="44">
        <v>41922</v>
      </c>
      <c r="D11" s="45" t="s">
        <v>39</v>
      </c>
      <c r="E11" s="46" t="s">
        <v>40</v>
      </c>
      <c r="F11" s="47"/>
      <c r="G11" s="63" t="s">
        <v>46</v>
      </c>
      <c r="H11" s="49"/>
      <c r="I11" s="61" t="s">
        <v>37</v>
      </c>
      <c r="J11" s="51">
        <v>3800</v>
      </c>
      <c r="K11" s="52">
        <v>4.99</v>
      </c>
      <c r="L11" s="49">
        <f t="shared" si="0"/>
        <v>18962</v>
      </c>
      <c r="M11" s="53">
        <v>20</v>
      </c>
      <c r="N11" s="53"/>
      <c r="O11" s="49">
        <f aca="true" t="shared" si="6" ref="O11:O13">SUM(M11:N11)</f>
        <v>20</v>
      </c>
      <c r="P11" s="49">
        <f t="shared" si="2"/>
        <v>18942</v>
      </c>
      <c r="Q11" s="49">
        <v>20084</v>
      </c>
      <c r="R11" s="49">
        <f>P11-Q11</f>
        <v>-1142</v>
      </c>
      <c r="S11" s="55" t="s">
        <v>38</v>
      </c>
      <c r="T11" s="56"/>
      <c r="U11" s="57">
        <f t="shared" si="5"/>
        <v>60029</v>
      </c>
      <c r="V11" s="57">
        <f t="shared" si="3"/>
        <v>18942</v>
      </c>
      <c r="W11" s="57">
        <f t="shared" si="4"/>
        <v>78971</v>
      </c>
      <c r="X11" s="58"/>
      <c r="Y11" s="58"/>
      <c r="Z11" s="59"/>
      <c r="AB11" s="60">
        <v>39065</v>
      </c>
    </row>
    <row r="12" spans="1:28" ht="18.75">
      <c r="A12" s="42"/>
      <c r="B12" s="43">
        <v>6</v>
      </c>
      <c r="C12" s="44">
        <v>41991</v>
      </c>
      <c r="D12" s="45" t="s">
        <v>47</v>
      </c>
      <c r="E12" s="46" t="s">
        <v>48</v>
      </c>
      <c r="F12" s="47"/>
      <c r="G12" s="48" t="s">
        <v>49</v>
      </c>
      <c r="H12" s="49"/>
      <c r="I12" s="50" t="s">
        <v>30</v>
      </c>
      <c r="J12" s="51">
        <v>5500</v>
      </c>
      <c r="K12" s="52">
        <v>3.68</v>
      </c>
      <c r="L12" s="49">
        <f t="shared" si="0"/>
        <v>20240</v>
      </c>
      <c r="M12" s="53">
        <v>20</v>
      </c>
      <c r="N12" s="53"/>
      <c r="O12" s="49">
        <f t="shared" si="6"/>
        <v>20</v>
      </c>
      <c r="P12" s="49">
        <f t="shared" si="2"/>
        <v>20260</v>
      </c>
      <c r="Q12" s="54" t="s">
        <v>31</v>
      </c>
      <c r="R12" s="54" t="s">
        <v>31</v>
      </c>
      <c r="S12" s="55" t="s">
        <v>32</v>
      </c>
      <c r="T12" s="56"/>
      <c r="U12" s="57">
        <f t="shared" si="5"/>
        <v>78971</v>
      </c>
      <c r="V12" s="57">
        <f t="shared" si="3"/>
        <v>20260</v>
      </c>
      <c r="W12" s="57">
        <f t="shared" si="4"/>
        <v>58711</v>
      </c>
      <c r="X12" s="58"/>
      <c r="Y12" s="58"/>
      <c r="Z12" s="64"/>
      <c r="AB12" s="2">
        <v>-38330</v>
      </c>
    </row>
    <row r="13" spans="1:26" ht="18.75">
      <c r="A13" s="42"/>
      <c r="B13" s="43">
        <v>7</v>
      </c>
      <c r="C13" s="44">
        <v>41991</v>
      </c>
      <c r="D13" s="45" t="s">
        <v>50</v>
      </c>
      <c r="E13" s="46" t="s">
        <v>51</v>
      </c>
      <c r="F13" s="47"/>
      <c r="G13" s="48" t="s">
        <v>49</v>
      </c>
      <c r="H13" s="49"/>
      <c r="I13" s="50" t="s">
        <v>30</v>
      </c>
      <c r="J13" s="51">
        <v>230</v>
      </c>
      <c r="K13" s="52">
        <v>85.33</v>
      </c>
      <c r="L13" s="49">
        <f t="shared" si="0"/>
        <v>19625.899999999998</v>
      </c>
      <c r="M13" s="53">
        <v>20</v>
      </c>
      <c r="N13" s="53"/>
      <c r="O13" s="49">
        <f t="shared" si="6"/>
        <v>20</v>
      </c>
      <c r="P13" s="49">
        <f t="shared" si="2"/>
        <v>19645.899999999998</v>
      </c>
      <c r="Q13" s="54" t="s">
        <v>31</v>
      </c>
      <c r="R13" s="54" t="s">
        <v>31</v>
      </c>
      <c r="S13" s="55" t="s">
        <v>32</v>
      </c>
      <c r="T13" s="56"/>
      <c r="U13" s="57">
        <f t="shared" si="5"/>
        <v>58711</v>
      </c>
      <c r="V13" s="57">
        <f t="shared" si="3"/>
        <v>19645.899999999998</v>
      </c>
      <c r="W13" s="57">
        <f t="shared" si="4"/>
        <v>39065.100000000006</v>
      </c>
      <c r="X13" s="58"/>
      <c r="Y13" s="58"/>
      <c r="Z13" s="64"/>
    </row>
    <row r="14" spans="1:26" s="4" customFormat="1" ht="18.75">
      <c r="A14" s="65"/>
      <c r="B14" s="66" t="s">
        <v>52</v>
      </c>
      <c r="C14" s="67" t="s">
        <v>53</v>
      </c>
      <c r="D14" s="67"/>
      <c r="E14" s="67"/>
      <c r="F14" s="68"/>
      <c r="G14" s="69"/>
      <c r="H14" s="70"/>
      <c r="I14" s="71"/>
      <c r="J14" s="72"/>
      <c r="K14" s="73"/>
      <c r="L14" s="70"/>
      <c r="M14" s="70"/>
      <c r="N14" s="70"/>
      <c r="O14" s="70"/>
      <c r="P14" s="70"/>
      <c r="Q14" s="70"/>
      <c r="R14" s="70"/>
      <c r="S14" s="74"/>
      <c r="T14" s="75"/>
      <c r="U14" s="76"/>
      <c r="V14" s="76"/>
      <c r="W14" s="76"/>
      <c r="X14" s="77"/>
      <c r="Y14" s="77"/>
      <c r="Z14" s="78"/>
    </row>
    <row r="15" spans="1:26" ht="26.25">
      <c r="A15" s="42"/>
      <c r="B15" s="66">
        <v>6</v>
      </c>
      <c r="C15" s="79">
        <v>42020</v>
      </c>
      <c r="D15" s="80" t="s">
        <v>47</v>
      </c>
      <c r="E15" s="68" t="s">
        <v>48</v>
      </c>
      <c r="F15" s="68"/>
      <c r="G15" s="81" t="s">
        <v>54</v>
      </c>
      <c r="H15" s="70"/>
      <c r="I15" s="82"/>
      <c r="J15" s="72">
        <v>5500</v>
      </c>
      <c r="K15" s="73">
        <v>3.55</v>
      </c>
      <c r="L15" s="70">
        <f aca="true" t="shared" si="7" ref="L15:L17">K15*J15</f>
        <v>19525</v>
      </c>
      <c r="M15" s="70"/>
      <c r="N15" s="70"/>
      <c r="O15" s="70"/>
      <c r="P15" s="70"/>
      <c r="Q15" s="70"/>
      <c r="R15" s="70"/>
      <c r="S15" s="74"/>
      <c r="T15" s="56"/>
      <c r="U15" s="76"/>
      <c r="V15" s="70"/>
      <c r="W15" s="70"/>
      <c r="X15" s="77">
        <f aca="true" t="shared" si="8" ref="X15:X17">L15</f>
        <v>19525</v>
      </c>
      <c r="Y15" s="77"/>
      <c r="Z15" s="64"/>
    </row>
    <row r="16" spans="1:26" ht="26.25">
      <c r="A16" s="42"/>
      <c r="B16" s="66">
        <v>7</v>
      </c>
      <c r="C16" s="79">
        <v>42020</v>
      </c>
      <c r="D16" s="80" t="s">
        <v>50</v>
      </c>
      <c r="E16" s="68" t="s">
        <v>51</v>
      </c>
      <c r="F16" s="68"/>
      <c r="G16" s="81" t="s">
        <v>54</v>
      </c>
      <c r="H16" s="70"/>
      <c r="I16" s="82"/>
      <c r="J16" s="72">
        <v>230</v>
      </c>
      <c r="K16" s="73">
        <v>83</v>
      </c>
      <c r="L16" s="70">
        <f t="shared" si="7"/>
        <v>19090</v>
      </c>
      <c r="M16" s="70"/>
      <c r="N16" s="70"/>
      <c r="O16" s="70"/>
      <c r="P16" s="70"/>
      <c r="Q16" s="70"/>
      <c r="R16" s="70"/>
      <c r="S16" s="74"/>
      <c r="T16" s="56"/>
      <c r="U16" s="76"/>
      <c r="V16" s="70"/>
      <c r="W16" s="70"/>
      <c r="X16" s="77">
        <f t="shared" si="8"/>
        <v>19090</v>
      </c>
      <c r="Y16" s="77"/>
      <c r="Z16" s="64"/>
    </row>
    <row r="17" spans="1:26" ht="26.25">
      <c r="A17" s="42"/>
      <c r="B17" s="66">
        <v>5</v>
      </c>
      <c r="C17" s="79">
        <v>42020</v>
      </c>
      <c r="D17" s="80" t="s">
        <v>42</v>
      </c>
      <c r="E17" s="68" t="s">
        <v>43</v>
      </c>
      <c r="F17" s="68"/>
      <c r="G17" s="81" t="s">
        <v>54</v>
      </c>
      <c r="H17" s="70"/>
      <c r="I17" s="82"/>
      <c r="J17" s="72">
        <v>900</v>
      </c>
      <c r="K17" s="73">
        <v>26.71</v>
      </c>
      <c r="L17" s="70">
        <f t="shared" si="7"/>
        <v>24039</v>
      </c>
      <c r="M17" s="70"/>
      <c r="N17" s="70"/>
      <c r="O17" s="70"/>
      <c r="P17" s="70"/>
      <c r="Q17" s="70"/>
      <c r="R17" s="70"/>
      <c r="S17" s="74"/>
      <c r="T17" s="56"/>
      <c r="U17" s="76"/>
      <c r="V17" s="70"/>
      <c r="W17" s="70"/>
      <c r="X17" s="77">
        <f t="shared" si="8"/>
        <v>24039</v>
      </c>
      <c r="Y17" s="77"/>
      <c r="Z17" s="64"/>
    </row>
    <row r="18" spans="1:26" ht="26.25">
      <c r="A18" s="42"/>
      <c r="B18" s="66" t="s">
        <v>52</v>
      </c>
      <c r="C18" s="83" t="s">
        <v>55</v>
      </c>
      <c r="D18" s="83"/>
      <c r="E18" s="83"/>
      <c r="F18" s="68"/>
      <c r="G18" s="81" t="s">
        <v>54</v>
      </c>
      <c r="H18" s="70"/>
      <c r="I18" s="82"/>
      <c r="J18" s="80" t="s">
        <v>56</v>
      </c>
      <c r="K18" s="80" t="s">
        <v>56</v>
      </c>
      <c r="L18" s="70"/>
      <c r="M18" s="70"/>
      <c r="N18" s="70"/>
      <c r="O18" s="70"/>
      <c r="P18" s="80" t="s">
        <v>56</v>
      </c>
      <c r="Q18" s="80" t="s">
        <v>56</v>
      </c>
      <c r="R18" s="70"/>
      <c r="S18" s="80" t="s">
        <v>56</v>
      </c>
      <c r="T18" s="56"/>
      <c r="U18" s="76">
        <f>W13</f>
        <v>39065.100000000006</v>
      </c>
      <c r="V18" s="70"/>
      <c r="W18" s="70"/>
      <c r="X18" s="77">
        <f>SUM(X15:X17)</f>
        <v>62654</v>
      </c>
      <c r="Y18" s="77">
        <f>SUM(U18:X18)</f>
        <v>101719.1</v>
      </c>
      <c r="Z18" s="64"/>
    </row>
    <row r="19" spans="1:26" ht="18.75">
      <c r="A19" s="42"/>
      <c r="B19" s="43">
        <v>8</v>
      </c>
      <c r="C19" s="44">
        <v>42025</v>
      </c>
      <c r="D19" s="45" t="s">
        <v>57</v>
      </c>
      <c r="E19" s="46" t="s">
        <v>58</v>
      </c>
      <c r="F19" s="47"/>
      <c r="G19" s="48" t="s">
        <v>59</v>
      </c>
      <c r="H19" s="49"/>
      <c r="I19" s="50" t="s">
        <v>30</v>
      </c>
      <c r="J19" s="51">
        <v>6500</v>
      </c>
      <c r="K19" s="52">
        <v>3.08</v>
      </c>
      <c r="L19" s="49">
        <f aca="true" t="shared" si="9" ref="L19:L20">K19*J19</f>
        <v>20020</v>
      </c>
      <c r="M19" s="53">
        <v>20</v>
      </c>
      <c r="N19" s="53"/>
      <c r="O19" s="49">
        <f aca="true" t="shared" si="10" ref="O19:O20">SUM(M19:N19)</f>
        <v>20</v>
      </c>
      <c r="P19" s="49">
        <f aca="true" t="shared" si="11" ref="P19:P20">IF(I19="sell",L19-O19,IF(I19="buy",L19+O19))</f>
        <v>20040</v>
      </c>
      <c r="Q19" s="54" t="s">
        <v>31</v>
      </c>
      <c r="R19" s="54" t="s">
        <v>31</v>
      </c>
      <c r="S19" s="55" t="s">
        <v>32</v>
      </c>
      <c r="T19" s="56"/>
      <c r="U19" s="57">
        <f>W13</f>
        <v>39065.100000000006</v>
      </c>
      <c r="V19" s="57">
        <f aca="true" t="shared" si="12" ref="V19:V20">P19</f>
        <v>20040</v>
      </c>
      <c r="W19" s="57">
        <f aca="true" t="shared" si="13" ref="W19:W20">IF(I19="buy",U19-V19,IF(I19="sell",U19+V19))</f>
        <v>19025.100000000006</v>
      </c>
      <c r="X19" s="58"/>
      <c r="Y19" s="58"/>
      <c r="Z19" s="64"/>
    </row>
    <row r="20" spans="2:26" ht="26.25">
      <c r="B20" s="43">
        <v>9</v>
      </c>
      <c r="C20" s="44">
        <v>42025</v>
      </c>
      <c r="D20" s="45" t="s">
        <v>60</v>
      </c>
      <c r="E20" s="46" t="s">
        <v>61</v>
      </c>
      <c r="F20" s="47"/>
      <c r="G20" s="48" t="s">
        <v>62</v>
      </c>
      <c r="H20" s="49"/>
      <c r="I20" s="50" t="s">
        <v>30</v>
      </c>
      <c r="J20" s="51">
        <v>310</v>
      </c>
      <c r="K20" s="52">
        <v>58.11</v>
      </c>
      <c r="L20" s="49">
        <f t="shared" si="9"/>
        <v>18014.1</v>
      </c>
      <c r="M20" s="53">
        <v>20</v>
      </c>
      <c r="N20" s="53"/>
      <c r="O20" s="49">
        <f t="shared" si="10"/>
        <v>20</v>
      </c>
      <c r="P20" s="49">
        <f t="shared" si="11"/>
        <v>18034.1</v>
      </c>
      <c r="Q20" s="54" t="s">
        <v>31</v>
      </c>
      <c r="R20" s="54" t="s">
        <v>31</v>
      </c>
      <c r="S20" s="55" t="s">
        <v>32</v>
      </c>
      <c r="T20" s="56"/>
      <c r="U20" s="57">
        <f>W19</f>
        <v>19025.100000000006</v>
      </c>
      <c r="V20" s="57">
        <f t="shared" si="12"/>
        <v>18034.1</v>
      </c>
      <c r="W20" s="57">
        <f t="shared" si="13"/>
        <v>991.0000000000073</v>
      </c>
      <c r="X20" s="58"/>
      <c r="Y20" s="58"/>
      <c r="Z20" s="64"/>
    </row>
    <row r="21" spans="1:26" s="4" customFormat="1" ht="18.75">
      <c r="A21" s="65"/>
      <c r="B21" s="66" t="s">
        <v>52</v>
      </c>
      <c r="C21" s="67" t="s">
        <v>63</v>
      </c>
      <c r="D21" s="67"/>
      <c r="E21" s="67"/>
      <c r="F21" s="68"/>
      <c r="G21" s="69"/>
      <c r="H21" s="70"/>
      <c r="I21" s="71"/>
      <c r="J21" s="72"/>
      <c r="K21" s="73"/>
      <c r="L21" s="70"/>
      <c r="M21" s="70"/>
      <c r="N21" s="70"/>
      <c r="O21" s="70"/>
      <c r="P21" s="70"/>
      <c r="Q21" s="70"/>
      <c r="R21" s="70"/>
      <c r="S21" s="74"/>
      <c r="T21" s="75"/>
      <c r="U21" s="76"/>
      <c r="V21" s="76"/>
      <c r="W21" s="76"/>
      <c r="X21" s="77"/>
      <c r="Y21" s="77"/>
      <c r="Z21" s="78"/>
    </row>
    <row r="22" spans="1:26" ht="26.25">
      <c r="A22" s="42"/>
      <c r="B22" s="43">
        <v>9</v>
      </c>
      <c r="C22" s="44">
        <v>42054</v>
      </c>
      <c r="D22" s="45" t="s">
        <v>60</v>
      </c>
      <c r="E22" s="46" t="s">
        <v>61</v>
      </c>
      <c r="F22" s="47"/>
      <c r="G22" s="48" t="s">
        <v>64</v>
      </c>
      <c r="H22" s="49"/>
      <c r="I22" s="61" t="s">
        <v>37</v>
      </c>
      <c r="J22" s="51">
        <f>310/2</f>
        <v>155</v>
      </c>
      <c r="K22" s="52">
        <v>63.41</v>
      </c>
      <c r="L22" s="49">
        <f aca="true" t="shared" si="14" ref="L22:L26">K22*J22</f>
        <v>9828.55</v>
      </c>
      <c r="M22" s="53">
        <v>20</v>
      </c>
      <c r="N22" s="53"/>
      <c r="O22" s="49">
        <f aca="true" t="shared" si="15" ref="O22:O26">SUM(M22:N22)</f>
        <v>20</v>
      </c>
      <c r="P22" s="49">
        <f aca="true" t="shared" si="16" ref="P22:P26">IF(I22="sell",L22-O22,IF(I22="buy",L22+O22))</f>
        <v>9808.55</v>
      </c>
      <c r="Q22" s="49">
        <f>18034.1/2</f>
        <v>9017.05</v>
      </c>
      <c r="R22" s="49">
        <f aca="true" t="shared" si="17" ref="R22:R26">P22-Q22</f>
        <v>791.5</v>
      </c>
      <c r="S22" s="55" t="s">
        <v>45</v>
      </c>
      <c r="T22" s="56"/>
      <c r="U22" s="57">
        <f>W20</f>
        <v>991.0000000000073</v>
      </c>
      <c r="V22" s="57">
        <f aca="true" t="shared" si="18" ref="V22:V26">P22</f>
        <v>9808.55</v>
      </c>
      <c r="W22" s="57">
        <f aca="true" t="shared" si="19" ref="W22:W26">IF(I22="buy",U22-V22,IF(I22="sell",U22+V22))</f>
        <v>10799.550000000007</v>
      </c>
      <c r="X22" s="58"/>
      <c r="Y22" s="58"/>
      <c r="Z22" s="64"/>
    </row>
    <row r="23" spans="1:26" ht="26.25">
      <c r="A23" s="42"/>
      <c r="B23" s="43">
        <v>8</v>
      </c>
      <c r="C23" s="44">
        <v>42054</v>
      </c>
      <c r="D23" s="45" t="s">
        <v>57</v>
      </c>
      <c r="E23" s="46" t="s">
        <v>58</v>
      </c>
      <c r="F23" s="47"/>
      <c r="G23" s="48" t="s">
        <v>64</v>
      </c>
      <c r="H23" s="49"/>
      <c r="I23" s="61" t="s">
        <v>37</v>
      </c>
      <c r="J23" s="51">
        <f>6500/2</f>
        <v>3250</v>
      </c>
      <c r="K23" s="52">
        <v>3.1</v>
      </c>
      <c r="L23" s="49">
        <f t="shared" si="14"/>
        <v>10075</v>
      </c>
      <c r="M23" s="53">
        <v>20</v>
      </c>
      <c r="N23" s="53"/>
      <c r="O23" s="49">
        <f t="shared" si="15"/>
        <v>20</v>
      </c>
      <c r="P23" s="49">
        <f t="shared" si="16"/>
        <v>10055</v>
      </c>
      <c r="Q23" s="49">
        <f>20040/2</f>
        <v>10020</v>
      </c>
      <c r="R23" s="49">
        <f t="shared" si="17"/>
        <v>35</v>
      </c>
      <c r="S23" s="55" t="s">
        <v>45</v>
      </c>
      <c r="T23" s="56"/>
      <c r="U23" s="57">
        <f aca="true" t="shared" si="20" ref="U23:U26">W22</f>
        <v>10799.550000000007</v>
      </c>
      <c r="V23" s="57">
        <f t="shared" si="18"/>
        <v>10055</v>
      </c>
      <c r="W23" s="57">
        <f t="shared" si="19"/>
        <v>20854.550000000007</v>
      </c>
      <c r="X23" s="58"/>
      <c r="Y23" s="58"/>
      <c r="Z23" s="64"/>
    </row>
    <row r="24" spans="1:26" ht="26.25">
      <c r="A24" s="42"/>
      <c r="B24" s="43">
        <v>6</v>
      </c>
      <c r="C24" s="44">
        <v>42054</v>
      </c>
      <c r="D24" s="45" t="s">
        <v>47</v>
      </c>
      <c r="E24" s="46" t="s">
        <v>48</v>
      </c>
      <c r="F24" s="47"/>
      <c r="G24" s="48" t="s">
        <v>64</v>
      </c>
      <c r="H24" s="49"/>
      <c r="I24" s="61" t="s">
        <v>37</v>
      </c>
      <c r="J24" s="51">
        <f>5500/2</f>
        <v>2750</v>
      </c>
      <c r="K24" s="52">
        <v>4.07</v>
      </c>
      <c r="L24" s="49">
        <f t="shared" si="14"/>
        <v>11192.5</v>
      </c>
      <c r="M24" s="53">
        <v>20</v>
      </c>
      <c r="N24" s="53"/>
      <c r="O24" s="49">
        <f t="shared" si="15"/>
        <v>20</v>
      </c>
      <c r="P24" s="49">
        <f t="shared" si="16"/>
        <v>11172.5</v>
      </c>
      <c r="Q24" s="49">
        <f>20260/2</f>
        <v>10130</v>
      </c>
      <c r="R24" s="49">
        <f t="shared" si="17"/>
        <v>1042.5</v>
      </c>
      <c r="S24" s="55" t="s">
        <v>45</v>
      </c>
      <c r="T24" s="56"/>
      <c r="U24" s="57">
        <f t="shared" si="20"/>
        <v>20854.550000000007</v>
      </c>
      <c r="V24" s="57">
        <f t="shared" si="18"/>
        <v>11172.5</v>
      </c>
      <c r="W24" s="57">
        <f t="shared" si="19"/>
        <v>32027.050000000007</v>
      </c>
      <c r="X24" s="58"/>
      <c r="Y24" s="58"/>
      <c r="Z24" s="64"/>
    </row>
    <row r="25" spans="1:26" ht="26.25">
      <c r="A25" s="42"/>
      <c r="B25" s="43">
        <v>7</v>
      </c>
      <c r="C25" s="44">
        <v>42054</v>
      </c>
      <c r="D25" s="45" t="s">
        <v>50</v>
      </c>
      <c r="E25" s="46" t="s">
        <v>51</v>
      </c>
      <c r="F25" s="47"/>
      <c r="G25" s="48" t="s">
        <v>64</v>
      </c>
      <c r="H25" s="49"/>
      <c r="I25" s="61" t="s">
        <v>37</v>
      </c>
      <c r="J25" s="51">
        <f>230/2</f>
        <v>115</v>
      </c>
      <c r="K25" s="52">
        <v>89.9</v>
      </c>
      <c r="L25" s="49">
        <f t="shared" si="14"/>
        <v>10338.5</v>
      </c>
      <c r="M25" s="53">
        <v>20</v>
      </c>
      <c r="N25" s="53"/>
      <c r="O25" s="49">
        <f t="shared" si="15"/>
        <v>20</v>
      </c>
      <c r="P25" s="49">
        <f t="shared" si="16"/>
        <v>10318.5</v>
      </c>
      <c r="Q25" s="49">
        <f>19645.9/2</f>
        <v>9822.95</v>
      </c>
      <c r="R25" s="49">
        <f t="shared" si="17"/>
        <v>495.5499999999993</v>
      </c>
      <c r="S25" s="55" t="s">
        <v>45</v>
      </c>
      <c r="T25" s="56"/>
      <c r="U25" s="57">
        <f t="shared" si="20"/>
        <v>32027.050000000007</v>
      </c>
      <c r="V25" s="57">
        <f t="shared" si="18"/>
        <v>10318.5</v>
      </c>
      <c r="W25" s="57">
        <f t="shared" si="19"/>
        <v>42345.55</v>
      </c>
      <c r="X25" s="58"/>
      <c r="Y25" s="58"/>
      <c r="Z25" s="64"/>
    </row>
    <row r="26" spans="1:26" ht="26.25">
      <c r="A26" s="42"/>
      <c r="B26" s="43">
        <v>5</v>
      </c>
      <c r="C26" s="44">
        <v>42054</v>
      </c>
      <c r="D26" s="45" t="s">
        <v>42</v>
      </c>
      <c r="E26" s="46" t="s">
        <v>43</v>
      </c>
      <c r="F26" s="47"/>
      <c r="G26" s="48" t="s">
        <v>64</v>
      </c>
      <c r="H26" s="49"/>
      <c r="I26" s="61" t="s">
        <v>37</v>
      </c>
      <c r="J26" s="51">
        <f>900/2</f>
        <v>450</v>
      </c>
      <c r="K26" s="52">
        <v>34.49</v>
      </c>
      <c r="L26" s="49">
        <f t="shared" si="14"/>
        <v>15520.5</v>
      </c>
      <c r="M26" s="53">
        <v>20</v>
      </c>
      <c r="N26" s="53"/>
      <c r="O26" s="49">
        <f t="shared" si="15"/>
        <v>20</v>
      </c>
      <c r="P26" s="49">
        <f t="shared" si="16"/>
        <v>15500.5</v>
      </c>
      <c r="Q26" s="49">
        <f>19658/2</f>
        <v>9829</v>
      </c>
      <c r="R26" s="49">
        <f t="shared" si="17"/>
        <v>5671.5</v>
      </c>
      <c r="S26" s="55" t="s">
        <v>45</v>
      </c>
      <c r="T26" s="56"/>
      <c r="U26" s="57">
        <f t="shared" si="20"/>
        <v>42345.55</v>
      </c>
      <c r="V26" s="57">
        <f t="shared" si="18"/>
        <v>15500.5</v>
      </c>
      <c r="W26" s="57">
        <f t="shared" si="19"/>
        <v>57846.05</v>
      </c>
      <c r="X26" s="58"/>
      <c r="Y26" s="58"/>
      <c r="Z26" s="64"/>
    </row>
    <row r="27" spans="1:26" s="4" customFormat="1" ht="18.75">
      <c r="A27" s="65"/>
      <c r="B27" s="66" t="s">
        <v>52</v>
      </c>
      <c r="C27" s="67" t="s">
        <v>65</v>
      </c>
      <c r="D27" s="67"/>
      <c r="E27" s="67"/>
      <c r="F27" s="68"/>
      <c r="G27" s="69"/>
      <c r="H27" s="70"/>
      <c r="I27" s="71"/>
      <c r="J27" s="72"/>
      <c r="K27" s="73"/>
      <c r="L27" s="70"/>
      <c r="M27" s="70"/>
      <c r="N27" s="70"/>
      <c r="O27" s="70"/>
      <c r="P27" s="70"/>
      <c r="Q27" s="70"/>
      <c r="R27" s="70"/>
      <c r="S27" s="74"/>
      <c r="T27" s="75"/>
      <c r="U27" s="76"/>
      <c r="V27" s="76"/>
      <c r="W27" s="76"/>
      <c r="X27" s="77"/>
      <c r="Y27" s="77"/>
      <c r="Z27" s="78"/>
    </row>
    <row r="28" spans="1:26" ht="38.25">
      <c r="A28" s="42"/>
      <c r="B28" s="43">
        <v>5</v>
      </c>
      <c r="C28" s="44">
        <v>42081</v>
      </c>
      <c r="D28" s="45" t="s">
        <v>42</v>
      </c>
      <c r="E28" s="46" t="s">
        <v>43</v>
      </c>
      <c r="F28" s="47"/>
      <c r="G28" s="48" t="s">
        <v>66</v>
      </c>
      <c r="H28" s="49"/>
      <c r="I28" s="61" t="s">
        <v>37</v>
      </c>
      <c r="J28" s="51">
        <f>900/2</f>
        <v>450</v>
      </c>
      <c r="K28" s="52">
        <v>18.55</v>
      </c>
      <c r="L28" s="49">
        <f aca="true" t="shared" si="21" ref="L28:L30">K28*J28</f>
        <v>8347.5</v>
      </c>
      <c r="M28" s="53">
        <v>20</v>
      </c>
      <c r="N28" s="53"/>
      <c r="O28" s="49">
        <f aca="true" t="shared" si="22" ref="O28:O30">SUM(M28:N28)</f>
        <v>20</v>
      </c>
      <c r="P28" s="49">
        <f aca="true" t="shared" si="23" ref="P28:P30">IF(I28="sell",L28-O28,IF(I28="buy",L28+O28))</f>
        <v>8327.5</v>
      </c>
      <c r="Q28" s="49">
        <f>19658/2</f>
        <v>9829</v>
      </c>
      <c r="R28" s="49">
        <f>P28-Q28</f>
        <v>-1501.5</v>
      </c>
      <c r="S28" s="55" t="s">
        <v>38</v>
      </c>
      <c r="T28" s="56"/>
      <c r="U28" s="57">
        <f>W26</f>
        <v>57846.05</v>
      </c>
      <c r="V28" s="57">
        <f aca="true" t="shared" si="24" ref="V28:V30">P28</f>
        <v>8327.5</v>
      </c>
      <c r="W28" s="57">
        <f aca="true" t="shared" si="25" ref="W28:W30">IF(I28="buy",U28-V28,IF(I28="sell",U28+V28))</f>
        <v>66173.55</v>
      </c>
      <c r="X28" s="58"/>
      <c r="Y28" s="58"/>
      <c r="Z28" s="64"/>
    </row>
    <row r="29" spans="1:26" s="60" customFormat="1" ht="18.75">
      <c r="A29" s="42"/>
      <c r="B29" s="43">
        <v>11</v>
      </c>
      <c r="C29" s="44">
        <v>42082</v>
      </c>
      <c r="D29" s="45" t="s">
        <v>67</v>
      </c>
      <c r="E29" s="46" t="s">
        <v>68</v>
      </c>
      <c r="F29" s="47"/>
      <c r="G29" s="48" t="s">
        <v>49</v>
      </c>
      <c r="H29" s="49"/>
      <c r="I29" s="50" t="s">
        <v>30</v>
      </c>
      <c r="J29" s="51">
        <v>4000</v>
      </c>
      <c r="K29" s="52">
        <v>3.02</v>
      </c>
      <c r="L29" s="49">
        <f t="shared" si="21"/>
        <v>12080</v>
      </c>
      <c r="M29" s="53">
        <v>20</v>
      </c>
      <c r="N29" s="53"/>
      <c r="O29" s="49">
        <f t="shared" si="22"/>
        <v>20</v>
      </c>
      <c r="P29" s="49">
        <f t="shared" si="23"/>
        <v>12100</v>
      </c>
      <c r="Q29" s="54" t="s">
        <v>31</v>
      </c>
      <c r="R29" s="54" t="s">
        <v>31</v>
      </c>
      <c r="S29" s="55" t="s">
        <v>69</v>
      </c>
      <c r="T29" s="56"/>
      <c r="U29" s="57">
        <f aca="true" t="shared" si="26" ref="U29:U30">W28</f>
        <v>66173.55</v>
      </c>
      <c r="V29" s="57">
        <f t="shared" si="24"/>
        <v>12100</v>
      </c>
      <c r="W29" s="57">
        <f t="shared" si="25"/>
        <v>54073.55</v>
      </c>
      <c r="X29" s="58"/>
      <c r="Y29" s="58"/>
      <c r="Z29" s="59"/>
    </row>
    <row r="30" spans="2:26" ht="38.25">
      <c r="B30" s="43">
        <v>8</v>
      </c>
      <c r="C30" s="44">
        <v>42081</v>
      </c>
      <c r="D30" s="45" t="s">
        <v>57</v>
      </c>
      <c r="E30" s="46" t="s">
        <v>58</v>
      </c>
      <c r="F30" s="47"/>
      <c r="G30" s="48" t="s">
        <v>70</v>
      </c>
      <c r="H30" s="49"/>
      <c r="I30" s="61" t="s">
        <v>37</v>
      </c>
      <c r="J30" s="51">
        <v>3250</v>
      </c>
      <c r="K30" s="52">
        <v>3</v>
      </c>
      <c r="L30" s="49">
        <f t="shared" si="21"/>
        <v>9750</v>
      </c>
      <c r="M30" s="53">
        <v>20</v>
      </c>
      <c r="N30" s="53"/>
      <c r="O30" s="49">
        <f t="shared" si="22"/>
        <v>20</v>
      </c>
      <c r="P30" s="49">
        <f t="shared" si="23"/>
        <v>9730</v>
      </c>
      <c r="Q30" s="49">
        <f>20040/2</f>
        <v>10020</v>
      </c>
      <c r="R30" s="49">
        <f>P30-Q30</f>
        <v>-290</v>
      </c>
      <c r="S30" s="55" t="s">
        <v>38</v>
      </c>
      <c r="T30" s="56"/>
      <c r="U30" s="57">
        <f t="shared" si="26"/>
        <v>54073.55</v>
      </c>
      <c r="V30" s="57">
        <f t="shared" si="24"/>
        <v>9730</v>
      </c>
      <c r="W30" s="57">
        <f t="shared" si="25"/>
        <v>63803.55</v>
      </c>
      <c r="X30" s="58"/>
      <c r="Y30" s="58"/>
      <c r="Z30" s="56"/>
    </row>
    <row r="31" spans="1:26" ht="18.75">
      <c r="A31" s="29"/>
      <c r="B31" s="66" t="s">
        <v>52</v>
      </c>
      <c r="C31" s="67" t="s">
        <v>71</v>
      </c>
      <c r="D31" s="67"/>
      <c r="E31" s="67"/>
      <c r="F31" s="84"/>
      <c r="G31" s="85"/>
      <c r="H31" s="86"/>
      <c r="I31" s="87"/>
      <c r="J31" s="72"/>
      <c r="K31" s="73"/>
      <c r="L31" s="70"/>
      <c r="M31" s="70"/>
      <c r="N31" s="70"/>
      <c r="O31" s="86"/>
      <c r="P31" s="86"/>
      <c r="Q31" s="86"/>
      <c r="R31" s="86"/>
      <c r="S31" s="88"/>
      <c r="T31" s="89"/>
      <c r="U31" s="86"/>
      <c r="V31" s="86"/>
      <c r="W31" s="86"/>
      <c r="X31" s="90"/>
      <c r="Y31" s="90"/>
      <c r="Z31" s="56"/>
    </row>
    <row r="32" spans="1:26" ht="18.75">
      <c r="A32" s="42"/>
      <c r="B32" s="43">
        <v>12</v>
      </c>
      <c r="C32" s="44">
        <v>42110</v>
      </c>
      <c r="D32" s="45" t="s">
        <v>72</v>
      </c>
      <c r="E32" s="46" t="s">
        <v>73</v>
      </c>
      <c r="F32" s="91"/>
      <c r="G32" s="92" t="s">
        <v>49</v>
      </c>
      <c r="H32" s="93"/>
      <c r="I32" s="50" t="s">
        <v>30</v>
      </c>
      <c r="J32" s="51">
        <v>340</v>
      </c>
      <c r="K32" s="52">
        <v>30.25</v>
      </c>
      <c r="L32" s="49">
        <f aca="true" t="shared" si="27" ref="L32:L37">K32*J32</f>
        <v>10285</v>
      </c>
      <c r="M32" s="53">
        <v>20</v>
      </c>
      <c r="N32" s="53"/>
      <c r="O32" s="49">
        <f aca="true" t="shared" si="28" ref="O32:O37">SUM(M32:N32)</f>
        <v>20</v>
      </c>
      <c r="P32" s="49">
        <f aca="true" t="shared" si="29" ref="P32:P37">IF(I32="sell",L32-O32,IF(I32="buy",L32+O32))</f>
        <v>10305</v>
      </c>
      <c r="Q32" s="54" t="s">
        <v>31</v>
      </c>
      <c r="R32" s="54" t="s">
        <v>31</v>
      </c>
      <c r="S32" s="55" t="s">
        <v>32</v>
      </c>
      <c r="T32" s="64"/>
      <c r="U32" s="94">
        <f>W30</f>
        <v>63803.55</v>
      </c>
      <c r="V32" s="57">
        <f aca="true" t="shared" si="30" ref="V32:V37">P32</f>
        <v>10305</v>
      </c>
      <c r="W32" s="57">
        <f aca="true" t="shared" si="31" ref="W32:W37">IF(I32="buy",U32-V32,IF(I32="sell",U32+V32))</f>
        <v>53498.55</v>
      </c>
      <c r="X32" s="95"/>
      <c r="Y32" s="95"/>
      <c r="Z32" s="56"/>
    </row>
    <row r="33" spans="1:26" ht="18.75">
      <c r="A33" s="42"/>
      <c r="B33" s="43">
        <v>13</v>
      </c>
      <c r="C33" s="44">
        <v>42110</v>
      </c>
      <c r="D33" s="45" t="s">
        <v>74</v>
      </c>
      <c r="E33" s="46" t="s">
        <v>75</v>
      </c>
      <c r="F33" s="91"/>
      <c r="G33" s="92" t="s">
        <v>49</v>
      </c>
      <c r="H33" s="93"/>
      <c r="I33" s="50" t="s">
        <v>30</v>
      </c>
      <c r="J33" s="51">
        <v>1700</v>
      </c>
      <c r="K33" s="52">
        <v>5.75</v>
      </c>
      <c r="L33" s="49">
        <f t="shared" si="27"/>
        <v>9775</v>
      </c>
      <c r="M33" s="53">
        <v>20</v>
      </c>
      <c r="N33" s="53"/>
      <c r="O33" s="49">
        <f t="shared" si="28"/>
        <v>20</v>
      </c>
      <c r="P33" s="49">
        <f t="shared" si="29"/>
        <v>9795</v>
      </c>
      <c r="Q33" s="54" t="s">
        <v>31</v>
      </c>
      <c r="R33" s="54" t="s">
        <v>31</v>
      </c>
      <c r="S33" s="55" t="s">
        <v>32</v>
      </c>
      <c r="T33" s="64"/>
      <c r="U33" s="94">
        <f aca="true" t="shared" si="32" ref="U33:U37">W32</f>
        <v>53498.55</v>
      </c>
      <c r="V33" s="57">
        <f t="shared" si="30"/>
        <v>9795</v>
      </c>
      <c r="W33" s="57">
        <f t="shared" si="31"/>
        <v>43703.55</v>
      </c>
      <c r="X33" s="95"/>
      <c r="Y33" s="95"/>
      <c r="Z33" s="56"/>
    </row>
    <row r="34" spans="1:26" ht="18.75">
      <c r="A34" s="42"/>
      <c r="B34" s="43">
        <v>14</v>
      </c>
      <c r="C34" s="44">
        <v>42110</v>
      </c>
      <c r="D34" s="45" t="s">
        <v>76</v>
      </c>
      <c r="E34" s="46" t="s">
        <v>77</v>
      </c>
      <c r="F34" s="91"/>
      <c r="G34" s="92" t="s">
        <v>49</v>
      </c>
      <c r="H34" s="93"/>
      <c r="I34" s="50" t="s">
        <v>30</v>
      </c>
      <c r="J34" s="51">
        <v>2200</v>
      </c>
      <c r="K34" s="52">
        <v>4.22</v>
      </c>
      <c r="L34" s="49">
        <f t="shared" si="27"/>
        <v>9284</v>
      </c>
      <c r="M34" s="53">
        <v>20</v>
      </c>
      <c r="N34" s="53"/>
      <c r="O34" s="49">
        <f t="shared" si="28"/>
        <v>20</v>
      </c>
      <c r="P34" s="49">
        <f t="shared" si="29"/>
        <v>9304</v>
      </c>
      <c r="Q34" s="54" t="s">
        <v>31</v>
      </c>
      <c r="R34" s="54" t="s">
        <v>31</v>
      </c>
      <c r="S34" s="55" t="s">
        <v>32</v>
      </c>
      <c r="T34" s="64"/>
      <c r="U34" s="94">
        <f t="shared" si="32"/>
        <v>43703.55</v>
      </c>
      <c r="V34" s="57">
        <f t="shared" si="30"/>
        <v>9304</v>
      </c>
      <c r="W34" s="57">
        <f t="shared" si="31"/>
        <v>34399.55</v>
      </c>
      <c r="X34" s="95"/>
      <c r="Y34" s="95"/>
      <c r="Z34" s="56"/>
    </row>
    <row r="35" spans="1:26" ht="18.75">
      <c r="A35" s="42"/>
      <c r="B35" s="43">
        <v>15</v>
      </c>
      <c r="C35" s="44">
        <v>42110</v>
      </c>
      <c r="D35" s="45" t="s">
        <v>78</v>
      </c>
      <c r="E35" s="46" t="s">
        <v>79</v>
      </c>
      <c r="F35" s="91"/>
      <c r="G35" s="92" t="s">
        <v>49</v>
      </c>
      <c r="H35" s="93"/>
      <c r="I35" s="50" t="s">
        <v>30</v>
      </c>
      <c r="J35" s="51">
        <v>120</v>
      </c>
      <c r="K35" s="52">
        <v>81.89</v>
      </c>
      <c r="L35" s="49">
        <f t="shared" si="27"/>
        <v>9826.8</v>
      </c>
      <c r="M35" s="53">
        <v>20</v>
      </c>
      <c r="N35" s="53"/>
      <c r="O35" s="49">
        <f t="shared" si="28"/>
        <v>20</v>
      </c>
      <c r="P35" s="49">
        <f t="shared" si="29"/>
        <v>9846.8</v>
      </c>
      <c r="Q35" s="54" t="s">
        <v>31</v>
      </c>
      <c r="R35" s="54" t="s">
        <v>31</v>
      </c>
      <c r="S35" s="55" t="s">
        <v>32</v>
      </c>
      <c r="T35" s="64"/>
      <c r="U35" s="94">
        <f t="shared" si="32"/>
        <v>34399.55</v>
      </c>
      <c r="V35" s="57">
        <f t="shared" si="30"/>
        <v>9846.8</v>
      </c>
      <c r="W35" s="57">
        <f t="shared" si="31"/>
        <v>24552.750000000004</v>
      </c>
      <c r="X35" s="95"/>
      <c r="Y35" s="95"/>
      <c r="Z35" s="56"/>
    </row>
    <row r="36" spans="1:26" ht="18.75">
      <c r="A36" s="42"/>
      <c r="B36" s="43">
        <v>16</v>
      </c>
      <c r="C36" s="44">
        <v>42110</v>
      </c>
      <c r="D36" s="45" t="s">
        <v>80</v>
      </c>
      <c r="E36" s="46" t="s">
        <v>81</v>
      </c>
      <c r="F36" s="91"/>
      <c r="G36" s="92" t="s">
        <v>49</v>
      </c>
      <c r="H36" s="93"/>
      <c r="I36" s="50" t="s">
        <v>30</v>
      </c>
      <c r="J36" s="51">
        <v>1800</v>
      </c>
      <c r="K36" s="52">
        <v>5.45</v>
      </c>
      <c r="L36" s="49">
        <f t="shared" si="27"/>
        <v>9810</v>
      </c>
      <c r="M36" s="53">
        <v>20</v>
      </c>
      <c r="N36" s="53"/>
      <c r="O36" s="49">
        <f t="shared" si="28"/>
        <v>20</v>
      </c>
      <c r="P36" s="49">
        <f t="shared" si="29"/>
        <v>9830</v>
      </c>
      <c r="Q36" s="54" t="s">
        <v>31</v>
      </c>
      <c r="R36" s="54" t="s">
        <v>31</v>
      </c>
      <c r="S36" s="55" t="s">
        <v>32</v>
      </c>
      <c r="T36" s="64"/>
      <c r="U36" s="94">
        <f t="shared" si="32"/>
        <v>24552.750000000004</v>
      </c>
      <c r="V36" s="57">
        <f t="shared" si="30"/>
        <v>9830</v>
      </c>
      <c r="W36" s="57">
        <f t="shared" si="31"/>
        <v>14722.750000000004</v>
      </c>
      <c r="X36" s="95"/>
      <c r="Y36" s="95"/>
      <c r="Z36" s="56"/>
    </row>
    <row r="37" spans="1:26" s="41" customFormat="1" ht="18.75">
      <c r="A37" s="1"/>
      <c r="B37" s="43">
        <v>17</v>
      </c>
      <c r="C37" s="44">
        <v>42110</v>
      </c>
      <c r="D37" s="45" t="s">
        <v>82</v>
      </c>
      <c r="E37" s="46" t="s">
        <v>83</v>
      </c>
      <c r="F37" s="91"/>
      <c r="G37" s="92" t="s">
        <v>49</v>
      </c>
      <c r="H37" s="93"/>
      <c r="I37" s="50" t="s">
        <v>30</v>
      </c>
      <c r="J37" s="51">
        <v>1000</v>
      </c>
      <c r="K37" s="52">
        <v>10</v>
      </c>
      <c r="L37" s="49">
        <f t="shared" si="27"/>
        <v>10000</v>
      </c>
      <c r="M37" s="53">
        <v>20</v>
      </c>
      <c r="N37" s="53"/>
      <c r="O37" s="49">
        <f t="shared" si="28"/>
        <v>20</v>
      </c>
      <c r="P37" s="49">
        <f t="shared" si="29"/>
        <v>10020</v>
      </c>
      <c r="Q37" s="54" t="s">
        <v>31</v>
      </c>
      <c r="R37" s="54" t="s">
        <v>31</v>
      </c>
      <c r="S37" s="55" t="s">
        <v>32</v>
      </c>
      <c r="T37" s="64"/>
      <c r="U37" s="94">
        <f t="shared" si="32"/>
        <v>14722.750000000004</v>
      </c>
      <c r="V37" s="57">
        <f t="shared" si="30"/>
        <v>10020</v>
      </c>
      <c r="W37" s="57">
        <f t="shared" si="31"/>
        <v>4702.750000000004</v>
      </c>
      <c r="X37" s="95"/>
      <c r="Y37" s="95"/>
      <c r="Z37" s="40"/>
    </row>
    <row r="38" spans="1:26" ht="18.75">
      <c r="A38" s="29"/>
      <c r="B38" s="66" t="s">
        <v>52</v>
      </c>
      <c r="C38" s="67" t="s">
        <v>84</v>
      </c>
      <c r="D38" s="67"/>
      <c r="E38" s="67"/>
      <c r="F38" s="67"/>
      <c r="G38" s="67"/>
      <c r="H38" s="86"/>
      <c r="I38" s="87"/>
      <c r="J38" s="72"/>
      <c r="K38" s="73"/>
      <c r="L38" s="70"/>
      <c r="M38" s="70"/>
      <c r="N38" s="70"/>
      <c r="O38" s="86"/>
      <c r="P38" s="86"/>
      <c r="Q38" s="86"/>
      <c r="R38" s="86"/>
      <c r="S38" s="88"/>
      <c r="T38" s="89"/>
      <c r="U38" s="86"/>
      <c r="V38" s="86"/>
      <c r="W38" s="86"/>
      <c r="X38" s="90"/>
      <c r="Y38" s="90"/>
      <c r="Z38" s="56"/>
    </row>
    <row r="39" spans="1:26" ht="26.25">
      <c r="A39" s="42"/>
      <c r="B39" s="43">
        <v>12</v>
      </c>
      <c r="C39" s="44">
        <v>42114</v>
      </c>
      <c r="D39" s="45" t="s">
        <v>72</v>
      </c>
      <c r="E39" s="46" t="s">
        <v>73</v>
      </c>
      <c r="F39" s="91"/>
      <c r="G39" s="92" t="s">
        <v>85</v>
      </c>
      <c r="H39" s="93"/>
      <c r="I39" s="61" t="s">
        <v>37</v>
      </c>
      <c r="J39" s="51">
        <v>340</v>
      </c>
      <c r="K39" s="52">
        <v>27.77</v>
      </c>
      <c r="L39" s="49">
        <f aca="true" t="shared" si="33" ref="L39:L42">K39*J39</f>
        <v>9441.8</v>
      </c>
      <c r="M39" s="53">
        <v>20</v>
      </c>
      <c r="N39" s="53"/>
      <c r="O39" s="49">
        <f aca="true" t="shared" si="34" ref="O39:O42">SUM(M39:N39)</f>
        <v>20</v>
      </c>
      <c r="P39" s="49">
        <f aca="true" t="shared" si="35" ref="P39:P42">IF(I39="sell",L39-O39,IF(I39="buy",L39+O39))</f>
        <v>9421.8</v>
      </c>
      <c r="Q39" s="49">
        <f aca="true" t="shared" si="36" ref="Q39:Q40">P32</f>
        <v>10305</v>
      </c>
      <c r="R39" s="49">
        <f aca="true" t="shared" si="37" ref="R39:R40">P39-Q39</f>
        <v>-883.2000000000007</v>
      </c>
      <c r="S39" s="55" t="s">
        <v>38</v>
      </c>
      <c r="T39" s="64"/>
      <c r="U39" s="94">
        <f>W37</f>
        <v>4702.750000000004</v>
      </c>
      <c r="V39" s="57">
        <f aca="true" t="shared" si="38" ref="V39:V42">P39</f>
        <v>9421.8</v>
      </c>
      <c r="W39" s="57">
        <f aca="true" t="shared" si="39" ref="W39:W42">IF(I39="buy",U39-V39,IF(I39="sell",U39+V39))</f>
        <v>14124.550000000003</v>
      </c>
      <c r="X39" s="95"/>
      <c r="Y39" s="95"/>
      <c r="Z39" s="56"/>
    </row>
    <row r="40" spans="1:26" ht="26.25">
      <c r="A40" s="42"/>
      <c r="B40" s="43">
        <v>13</v>
      </c>
      <c r="C40" s="44">
        <v>42115</v>
      </c>
      <c r="D40" s="45" t="s">
        <v>74</v>
      </c>
      <c r="E40" s="46" t="s">
        <v>75</v>
      </c>
      <c r="F40" s="91"/>
      <c r="G40" s="92" t="s">
        <v>85</v>
      </c>
      <c r="H40" s="93"/>
      <c r="I40" s="61" t="s">
        <v>37</v>
      </c>
      <c r="J40" s="51">
        <v>1700</v>
      </c>
      <c r="K40" s="52">
        <v>5.48</v>
      </c>
      <c r="L40" s="49">
        <f t="shared" si="33"/>
        <v>9316</v>
      </c>
      <c r="M40" s="53">
        <v>20</v>
      </c>
      <c r="N40" s="53"/>
      <c r="O40" s="49">
        <f t="shared" si="34"/>
        <v>20</v>
      </c>
      <c r="P40" s="49">
        <f t="shared" si="35"/>
        <v>9296</v>
      </c>
      <c r="Q40" s="49">
        <f t="shared" si="36"/>
        <v>9795</v>
      </c>
      <c r="R40" s="49">
        <f t="shared" si="37"/>
        <v>-499</v>
      </c>
      <c r="S40" s="55" t="s">
        <v>38</v>
      </c>
      <c r="T40" s="64"/>
      <c r="U40" s="94">
        <f aca="true" t="shared" si="40" ref="U40:U42">W39</f>
        <v>14124.550000000003</v>
      </c>
      <c r="V40" s="57">
        <f t="shared" si="38"/>
        <v>9296</v>
      </c>
      <c r="W40" s="57">
        <f t="shared" si="39"/>
        <v>23420.550000000003</v>
      </c>
      <c r="X40" s="95"/>
      <c r="Y40" s="95"/>
      <c r="Z40" s="56"/>
    </row>
    <row r="41" spans="1:26" ht="18.75">
      <c r="A41" s="42"/>
      <c r="B41" s="43" t="s">
        <v>86</v>
      </c>
      <c r="C41" s="44">
        <v>42117</v>
      </c>
      <c r="D41" s="45" t="s">
        <v>87</v>
      </c>
      <c r="E41" s="46" t="s">
        <v>88</v>
      </c>
      <c r="F41" s="91"/>
      <c r="G41" s="92" t="s">
        <v>49</v>
      </c>
      <c r="H41" s="93"/>
      <c r="I41" s="50" t="s">
        <v>30</v>
      </c>
      <c r="J41" s="51">
        <v>1150</v>
      </c>
      <c r="K41" s="52">
        <v>8.66</v>
      </c>
      <c r="L41" s="49">
        <f t="shared" si="33"/>
        <v>9959</v>
      </c>
      <c r="M41" s="53">
        <v>20</v>
      </c>
      <c r="N41" s="53"/>
      <c r="O41" s="49">
        <f t="shared" si="34"/>
        <v>20</v>
      </c>
      <c r="P41" s="49">
        <f t="shared" si="35"/>
        <v>9979</v>
      </c>
      <c r="Q41" s="54" t="s">
        <v>31</v>
      </c>
      <c r="R41" s="54" t="s">
        <v>31</v>
      </c>
      <c r="S41" s="55" t="s">
        <v>69</v>
      </c>
      <c r="T41" s="64"/>
      <c r="U41" s="94">
        <f t="shared" si="40"/>
        <v>23420.550000000003</v>
      </c>
      <c r="V41" s="57">
        <f t="shared" si="38"/>
        <v>9979</v>
      </c>
      <c r="W41" s="57">
        <f t="shared" si="39"/>
        <v>13441.550000000003</v>
      </c>
      <c r="X41" s="95"/>
      <c r="Y41" s="95"/>
      <c r="Z41" s="56"/>
    </row>
    <row r="42" spans="1:26" ht="29.25">
      <c r="A42" s="42"/>
      <c r="B42" s="43">
        <v>14</v>
      </c>
      <c r="C42" s="44">
        <v>42124</v>
      </c>
      <c r="D42" s="45" t="s">
        <v>76</v>
      </c>
      <c r="E42" s="46" t="s">
        <v>77</v>
      </c>
      <c r="F42" s="91"/>
      <c r="G42" s="92" t="s">
        <v>85</v>
      </c>
      <c r="H42" s="93"/>
      <c r="I42" s="61" t="s">
        <v>37</v>
      </c>
      <c r="J42" s="51">
        <v>2200</v>
      </c>
      <c r="K42" s="52">
        <v>3.87</v>
      </c>
      <c r="L42" s="49">
        <f t="shared" si="33"/>
        <v>8514</v>
      </c>
      <c r="M42" s="53">
        <v>20</v>
      </c>
      <c r="N42" s="53"/>
      <c r="O42" s="49">
        <f t="shared" si="34"/>
        <v>20</v>
      </c>
      <c r="P42" s="49">
        <f t="shared" si="35"/>
        <v>8494</v>
      </c>
      <c r="Q42" s="49">
        <f>P34</f>
        <v>9304</v>
      </c>
      <c r="R42" s="49">
        <f>P42-Q42</f>
        <v>-810</v>
      </c>
      <c r="S42" s="55" t="s">
        <v>38</v>
      </c>
      <c r="T42" s="64"/>
      <c r="U42" s="94">
        <f t="shared" si="40"/>
        <v>13441.550000000003</v>
      </c>
      <c r="V42" s="57">
        <f t="shared" si="38"/>
        <v>8494</v>
      </c>
      <c r="W42" s="57">
        <f t="shared" si="39"/>
        <v>21935.550000000003</v>
      </c>
      <c r="X42" s="95"/>
      <c r="Y42" s="95"/>
      <c r="Z42" s="56"/>
    </row>
    <row r="43" spans="1:26" ht="18.75">
      <c r="A43" s="29"/>
      <c r="B43" s="66" t="s">
        <v>52</v>
      </c>
      <c r="C43" s="67" t="s">
        <v>89</v>
      </c>
      <c r="D43" s="67"/>
      <c r="E43" s="67"/>
      <c r="F43" s="84"/>
      <c r="G43" s="85"/>
      <c r="H43" s="86"/>
      <c r="I43" s="87"/>
      <c r="J43" s="72"/>
      <c r="K43" s="73"/>
      <c r="L43" s="70"/>
      <c r="M43" s="70"/>
      <c r="N43" s="70"/>
      <c r="O43" s="86"/>
      <c r="P43" s="86"/>
      <c r="Q43" s="86"/>
      <c r="R43" s="86"/>
      <c r="S43" s="88"/>
      <c r="T43" s="89"/>
      <c r="U43" s="86"/>
      <c r="V43" s="86"/>
      <c r="W43" s="86"/>
      <c r="X43" s="90"/>
      <c r="Y43" s="90"/>
      <c r="Z43" s="56"/>
    </row>
    <row r="44" spans="1:26" ht="26.25">
      <c r="A44" s="42"/>
      <c r="B44" s="43">
        <v>15</v>
      </c>
      <c r="C44" s="44">
        <v>42125</v>
      </c>
      <c r="D44" s="45" t="s">
        <v>78</v>
      </c>
      <c r="E44" s="46" t="s">
        <v>79</v>
      </c>
      <c r="F44" s="91"/>
      <c r="G44" s="92" t="s">
        <v>85</v>
      </c>
      <c r="H44" s="93"/>
      <c r="I44" s="61" t="s">
        <v>37</v>
      </c>
      <c r="J44" s="51">
        <v>120</v>
      </c>
      <c r="K44" s="52">
        <v>77.97</v>
      </c>
      <c r="L44" s="49">
        <f aca="true" t="shared" si="41" ref="L44:L47">K44*J44</f>
        <v>9356.4</v>
      </c>
      <c r="M44" s="53">
        <v>20</v>
      </c>
      <c r="N44" s="53"/>
      <c r="O44" s="49">
        <f aca="true" t="shared" si="42" ref="O44:O47">SUM(M44:N44)</f>
        <v>20</v>
      </c>
      <c r="P44" s="49">
        <f aca="true" t="shared" si="43" ref="P44:P47">IF(I44="sell",L44-O44,IF(I44="buy",L44+O44))</f>
        <v>9336.4</v>
      </c>
      <c r="Q44" s="49">
        <f aca="true" t="shared" si="44" ref="Q44:Q46">P35</f>
        <v>9846.8</v>
      </c>
      <c r="R44" s="49">
        <f aca="true" t="shared" si="45" ref="R44:R47">P44-Q44</f>
        <v>-510.39999999999964</v>
      </c>
      <c r="S44" s="55" t="s">
        <v>38</v>
      </c>
      <c r="T44" s="64"/>
      <c r="U44" s="94">
        <f>W42</f>
        <v>21935.550000000003</v>
      </c>
      <c r="V44" s="57">
        <f aca="true" t="shared" si="46" ref="V44:V47">P44</f>
        <v>9336.4</v>
      </c>
      <c r="W44" s="57">
        <f aca="true" t="shared" si="47" ref="W44:W47">IF(I44="buy",U44-V44,IF(I44="sell",U44+V44))</f>
        <v>31271.950000000004</v>
      </c>
      <c r="X44" s="95"/>
      <c r="Y44" s="95"/>
      <c r="Z44" s="56"/>
    </row>
    <row r="45" spans="1:26" ht="26.25">
      <c r="A45" s="42"/>
      <c r="B45" s="43">
        <v>16</v>
      </c>
      <c r="C45" s="44">
        <v>42131</v>
      </c>
      <c r="D45" s="45" t="s">
        <v>80</v>
      </c>
      <c r="E45" s="46" t="s">
        <v>81</v>
      </c>
      <c r="F45" s="91"/>
      <c r="G45" s="92" t="s">
        <v>85</v>
      </c>
      <c r="H45" s="93"/>
      <c r="I45" s="61" t="s">
        <v>37</v>
      </c>
      <c r="J45" s="51">
        <v>1800</v>
      </c>
      <c r="K45" s="52">
        <v>5.2</v>
      </c>
      <c r="L45" s="49">
        <f t="shared" si="41"/>
        <v>9360</v>
      </c>
      <c r="M45" s="53">
        <v>20</v>
      </c>
      <c r="N45" s="53"/>
      <c r="O45" s="49">
        <f t="shared" si="42"/>
        <v>20</v>
      </c>
      <c r="P45" s="49">
        <f t="shared" si="43"/>
        <v>9340</v>
      </c>
      <c r="Q45" s="49">
        <f t="shared" si="44"/>
        <v>9830</v>
      </c>
      <c r="R45" s="49">
        <f t="shared" si="45"/>
        <v>-490</v>
      </c>
      <c r="S45" s="55" t="s">
        <v>38</v>
      </c>
      <c r="T45" s="64"/>
      <c r="U45" s="94">
        <f aca="true" t="shared" si="48" ref="U45:U47">W44</f>
        <v>31271.950000000004</v>
      </c>
      <c r="V45" s="57">
        <f t="shared" si="46"/>
        <v>9340</v>
      </c>
      <c r="W45" s="57">
        <f t="shared" si="47"/>
        <v>40611.950000000004</v>
      </c>
      <c r="X45" s="95"/>
      <c r="Y45" s="95"/>
      <c r="Z45" s="56"/>
    </row>
    <row r="46" spans="1:26" ht="29.25">
      <c r="A46" s="42"/>
      <c r="B46" s="43">
        <v>17</v>
      </c>
      <c r="C46" s="44">
        <v>42132</v>
      </c>
      <c r="D46" s="45" t="s">
        <v>82</v>
      </c>
      <c r="E46" s="46" t="s">
        <v>83</v>
      </c>
      <c r="F46" s="91"/>
      <c r="G46" s="92" t="s">
        <v>85</v>
      </c>
      <c r="H46" s="93"/>
      <c r="I46" s="61" t="s">
        <v>37</v>
      </c>
      <c r="J46" s="51">
        <v>1000</v>
      </c>
      <c r="K46" s="52">
        <v>9.78</v>
      </c>
      <c r="L46" s="49">
        <f t="shared" si="41"/>
        <v>9780</v>
      </c>
      <c r="M46" s="53">
        <v>20</v>
      </c>
      <c r="N46" s="53"/>
      <c r="O46" s="49">
        <f t="shared" si="42"/>
        <v>20</v>
      </c>
      <c r="P46" s="49">
        <f t="shared" si="43"/>
        <v>9760</v>
      </c>
      <c r="Q46" s="49">
        <f t="shared" si="44"/>
        <v>10020</v>
      </c>
      <c r="R46" s="49">
        <f t="shared" si="45"/>
        <v>-260</v>
      </c>
      <c r="S46" s="55" t="s">
        <v>38</v>
      </c>
      <c r="T46" s="64"/>
      <c r="U46" s="94">
        <f t="shared" si="48"/>
        <v>40611.950000000004</v>
      </c>
      <c r="V46" s="57">
        <f t="shared" si="46"/>
        <v>9760</v>
      </c>
      <c r="W46" s="57">
        <f t="shared" si="47"/>
        <v>50371.950000000004</v>
      </c>
      <c r="X46" s="95"/>
      <c r="Y46" s="95"/>
      <c r="Z46" s="56"/>
    </row>
    <row r="47" spans="1:26" ht="18.75">
      <c r="A47" s="42"/>
      <c r="B47" s="43">
        <v>6</v>
      </c>
      <c r="C47" s="44">
        <v>42143</v>
      </c>
      <c r="D47" s="45" t="s">
        <v>47</v>
      </c>
      <c r="E47" s="46" t="s">
        <v>48</v>
      </c>
      <c r="F47" s="91"/>
      <c r="G47" s="92" t="s">
        <v>90</v>
      </c>
      <c r="H47" s="93"/>
      <c r="I47" s="61" t="s">
        <v>37</v>
      </c>
      <c r="J47" s="51">
        <v>2750</v>
      </c>
      <c r="K47" s="52">
        <v>4.05</v>
      </c>
      <c r="L47" s="49">
        <f t="shared" si="41"/>
        <v>11137.5</v>
      </c>
      <c r="M47" s="53">
        <v>20</v>
      </c>
      <c r="N47" s="53"/>
      <c r="O47" s="49">
        <f t="shared" si="42"/>
        <v>20</v>
      </c>
      <c r="P47" s="49">
        <f t="shared" si="43"/>
        <v>11117.5</v>
      </c>
      <c r="Q47" s="49">
        <f>20240/2</f>
        <v>10120</v>
      </c>
      <c r="R47" s="49">
        <f t="shared" si="45"/>
        <v>997.5</v>
      </c>
      <c r="S47" s="55" t="s">
        <v>91</v>
      </c>
      <c r="T47" s="64"/>
      <c r="U47" s="94">
        <f t="shared" si="48"/>
        <v>50371.950000000004</v>
      </c>
      <c r="V47" s="57">
        <f t="shared" si="46"/>
        <v>11117.5</v>
      </c>
      <c r="W47" s="57">
        <f t="shared" si="47"/>
        <v>61489.450000000004</v>
      </c>
      <c r="X47" s="95"/>
      <c r="Y47" s="95"/>
      <c r="Z47" s="56"/>
    </row>
    <row r="48" spans="1:26" ht="18.75">
      <c r="A48" s="29"/>
      <c r="B48" s="66" t="s">
        <v>52</v>
      </c>
      <c r="C48" s="67"/>
      <c r="D48" s="67"/>
      <c r="E48" s="67"/>
      <c r="F48" s="84"/>
      <c r="G48" s="85"/>
      <c r="H48" s="86"/>
      <c r="I48" s="87"/>
      <c r="J48" s="72"/>
      <c r="K48" s="73"/>
      <c r="L48" s="70"/>
      <c r="M48" s="70"/>
      <c r="N48" s="70"/>
      <c r="O48" s="86"/>
      <c r="P48" s="86"/>
      <c r="Q48" s="86"/>
      <c r="R48" s="86"/>
      <c r="S48" s="88"/>
      <c r="T48" s="89"/>
      <c r="U48" s="86"/>
      <c r="V48" s="86"/>
      <c r="W48" s="86"/>
      <c r="X48" s="90"/>
      <c r="Y48" s="90"/>
      <c r="Z48" s="56"/>
    </row>
    <row r="49" spans="1:26" ht="18.75">
      <c r="A49" s="42"/>
      <c r="B49" s="43">
        <v>9</v>
      </c>
      <c r="C49" s="44">
        <v>42159</v>
      </c>
      <c r="D49" s="45" t="s">
        <v>60</v>
      </c>
      <c r="E49" s="46" t="s">
        <v>61</v>
      </c>
      <c r="F49" s="91"/>
      <c r="G49" s="92" t="s">
        <v>36</v>
      </c>
      <c r="H49" s="93"/>
      <c r="I49" s="61" t="s">
        <v>37</v>
      </c>
      <c r="J49" s="51">
        <v>155</v>
      </c>
      <c r="K49" s="52">
        <v>60.3</v>
      </c>
      <c r="L49" s="49">
        <f aca="true" t="shared" si="49" ref="L49:L51">K49*J49</f>
        <v>9346.5</v>
      </c>
      <c r="M49" s="53">
        <v>20</v>
      </c>
      <c r="N49" s="53"/>
      <c r="O49" s="49">
        <f aca="true" t="shared" si="50" ref="O49:O51">SUM(M49:N49)</f>
        <v>20</v>
      </c>
      <c r="P49" s="49">
        <f aca="true" t="shared" si="51" ref="P49:P51">IF(I49="sell",L49-O49,IF(I49="buy",L49+O49))</f>
        <v>9326.5</v>
      </c>
      <c r="Q49" s="49">
        <f>18014/2</f>
        <v>9007</v>
      </c>
      <c r="R49" s="49">
        <f aca="true" t="shared" si="52" ref="R49:R50">P49-Q49</f>
        <v>319.5</v>
      </c>
      <c r="S49" s="55" t="s">
        <v>91</v>
      </c>
      <c r="T49" s="64"/>
      <c r="U49" s="94">
        <f>W47</f>
        <v>61489.450000000004</v>
      </c>
      <c r="V49" s="57">
        <f aca="true" t="shared" si="53" ref="V49:V51">P49</f>
        <v>9326.5</v>
      </c>
      <c r="W49" s="57">
        <f aca="true" t="shared" si="54" ref="W49:W51">IF(I49="buy",U49-V49,IF(I49="sell",U49+V49))</f>
        <v>70815.95000000001</v>
      </c>
      <c r="X49" s="95"/>
      <c r="Y49" s="95"/>
      <c r="Z49" s="56"/>
    </row>
    <row r="50" spans="1:26" ht="18.75">
      <c r="A50" s="42"/>
      <c r="B50" s="43">
        <v>7</v>
      </c>
      <c r="C50" s="44">
        <v>42184</v>
      </c>
      <c r="D50" s="45" t="s">
        <v>50</v>
      </c>
      <c r="E50" s="46" t="s">
        <v>51</v>
      </c>
      <c r="F50" s="91"/>
      <c r="G50" s="92" t="s">
        <v>37</v>
      </c>
      <c r="H50" s="93"/>
      <c r="I50" s="61" t="s">
        <v>37</v>
      </c>
      <c r="J50" s="51">
        <v>115</v>
      </c>
      <c r="K50" s="52">
        <v>85.69</v>
      </c>
      <c r="L50" s="49">
        <f t="shared" si="49"/>
        <v>9854.35</v>
      </c>
      <c r="M50" s="53">
        <v>20</v>
      </c>
      <c r="N50" s="53"/>
      <c r="O50" s="49">
        <f t="shared" si="50"/>
        <v>20</v>
      </c>
      <c r="P50" s="49">
        <f t="shared" si="51"/>
        <v>9834.35</v>
      </c>
      <c r="Q50" s="49">
        <f>20240/2</f>
        <v>10120</v>
      </c>
      <c r="R50" s="49">
        <f t="shared" si="52"/>
        <v>-285.64999999999964</v>
      </c>
      <c r="S50" s="55" t="s">
        <v>38</v>
      </c>
      <c r="T50" s="64"/>
      <c r="U50" s="94">
        <f aca="true" t="shared" si="55" ref="U50:U51">W49</f>
        <v>70815.95000000001</v>
      </c>
      <c r="V50" s="57">
        <f t="shared" si="53"/>
        <v>9834.35</v>
      </c>
      <c r="W50" s="57">
        <f t="shared" si="54"/>
        <v>80650.30000000002</v>
      </c>
      <c r="X50" s="95"/>
      <c r="Y50" s="95"/>
      <c r="Z50" s="56"/>
    </row>
    <row r="51" spans="1:26" s="41" customFormat="1" ht="18.75">
      <c r="A51" s="1"/>
      <c r="B51" s="43">
        <v>18</v>
      </c>
      <c r="C51" s="44">
        <v>42201</v>
      </c>
      <c r="D51" s="45" t="s">
        <v>92</v>
      </c>
      <c r="E51" s="46" t="s">
        <v>93</v>
      </c>
      <c r="F51" s="91"/>
      <c r="G51" s="92" t="s">
        <v>49</v>
      </c>
      <c r="H51" s="93"/>
      <c r="I51" s="50" t="s">
        <v>30</v>
      </c>
      <c r="J51" s="51">
        <v>550</v>
      </c>
      <c r="K51" s="52">
        <v>18.97</v>
      </c>
      <c r="L51" s="49">
        <f t="shared" si="49"/>
        <v>10433.5</v>
      </c>
      <c r="M51" s="53">
        <v>20</v>
      </c>
      <c r="N51" s="53"/>
      <c r="O51" s="49">
        <f t="shared" si="50"/>
        <v>20</v>
      </c>
      <c r="P51" s="49">
        <f t="shared" si="51"/>
        <v>10453.5</v>
      </c>
      <c r="Q51" s="54" t="s">
        <v>31</v>
      </c>
      <c r="R51" s="54" t="s">
        <v>31</v>
      </c>
      <c r="S51" s="55" t="s">
        <v>69</v>
      </c>
      <c r="T51" s="64"/>
      <c r="U51" s="94">
        <f t="shared" si="55"/>
        <v>80650.30000000002</v>
      </c>
      <c r="V51" s="57">
        <f t="shared" si="53"/>
        <v>10453.5</v>
      </c>
      <c r="W51" s="57">
        <f t="shared" si="54"/>
        <v>70196.80000000002</v>
      </c>
      <c r="X51" s="95"/>
      <c r="Y51" s="95"/>
      <c r="Z51" s="40"/>
    </row>
    <row r="52" spans="1:26" ht="18.75">
      <c r="A52" s="29"/>
      <c r="B52" s="66" t="s">
        <v>52</v>
      </c>
      <c r="C52" s="83" t="s">
        <v>55</v>
      </c>
      <c r="D52" s="83"/>
      <c r="E52" s="83"/>
      <c r="F52" s="84"/>
      <c r="G52" s="85"/>
      <c r="H52" s="86"/>
      <c r="I52" s="87"/>
      <c r="J52" s="72"/>
      <c r="K52" s="73"/>
      <c r="L52" s="70"/>
      <c r="M52" s="70"/>
      <c r="N52" s="70"/>
      <c r="O52" s="86"/>
      <c r="P52" s="86"/>
      <c r="Q52" s="86"/>
      <c r="R52" s="86"/>
      <c r="S52" s="88"/>
      <c r="T52" s="89"/>
      <c r="U52" s="86"/>
      <c r="V52" s="86"/>
      <c r="W52" s="86"/>
      <c r="X52" s="90"/>
      <c r="Y52" s="90"/>
      <c r="Z52" s="56"/>
    </row>
    <row r="53" spans="1:26" ht="27.75">
      <c r="A53" s="42"/>
      <c r="B53" s="96">
        <v>11</v>
      </c>
      <c r="C53" s="97">
        <v>42234</v>
      </c>
      <c r="D53" s="98" t="s">
        <v>67</v>
      </c>
      <c r="E53" s="99" t="s">
        <v>68</v>
      </c>
      <c r="F53" s="100"/>
      <c r="G53" s="81" t="s">
        <v>54</v>
      </c>
      <c r="H53" s="101"/>
      <c r="I53" s="102"/>
      <c r="J53" s="103">
        <v>4000</v>
      </c>
      <c r="K53" s="104">
        <v>3.79</v>
      </c>
      <c r="L53" s="101">
        <f aca="true" t="shared" si="56" ref="L53:L55">K53*J53</f>
        <v>15160</v>
      </c>
      <c r="M53" s="101"/>
      <c r="N53" s="101"/>
      <c r="O53" s="101"/>
      <c r="P53" s="105"/>
      <c r="Q53" s="105"/>
      <c r="R53" s="101"/>
      <c r="S53" s="105"/>
      <c r="T53" s="89"/>
      <c r="U53" s="106"/>
      <c r="V53" s="106"/>
      <c r="W53" s="106"/>
      <c r="X53" s="107">
        <f aca="true" t="shared" si="57" ref="X53:X55">L53</f>
        <v>15160</v>
      </c>
      <c r="Y53" s="107"/>
      <c r="Z53" s="56"/>
    </row>
    <row r="54" spans="1:26" ht="27.75">
      <c r="A54" s="42"/>
      <c r="B54" s="96">
        <v>18</v>
      </c>
      <c r="C54" s="97">
        <v>42234</v>
      </c>
      <c r="D54" s="98" t="s">
        <v>92</v>
      </c>
      <c r="E54" s="99" t="s">
        <v>93</v>
      </c>
      <c r="F54" s="100"/>
      <c r="G54" s="81" t="s">
        <v>54</v>
      </c>
      <c r="H54" s="101"/>
      <c r="I54" s="102"/>
      <c r="J54" s="103">
        <v>550</v>
      </c>
      <c r="K54" s="104">
        <v>17.95</v>
      </c>
      <c r="L54" s="101">
        <f t="shared" si="56"/>
        <v>9872.5</v>
      </c>
      <c r="M54" s="101"/>
      <c r="N54" s="101"/>
      <c r="O54" s="101"/>
      <c r="P54" s="105"/>
      <c r="Q54" s="105"/>
      <c r="R54" s="101"/>
      <c r="S54" s="105"/>
      <c r="T54" s="89"/>
      <c r="U54" s="106"/>
      <c r="V54" s="106"/>
      <c r="W54" s="106"/>
      <c r="X54" s="107">
        <f t="shared" si="57"/>
        <v>9872.5</v>
      </c>
      <c r="Y54" s="107"/>
      <c r="Z54" s="56"/>
    </row>
    <row r="55" spans="1:26" ht="26.25">
      <c r="A55" s="42"/>
      <c r="B55" s="96" t="s">
        <v>86</v>
      </c>
      <c r="C55" s="97">
        <v>42234</v>
      </c>
      <c r="D55" s="98" t="s">
        <v>87</v>
      </c>
      <c r="E55" s="99" t="s">
        <v>93</v>
      </c>
      <c r="F55" s="100"/>
      <c r="G55" s="81" t="s">
        <v>54</v>
      </c>
      <c r="H55" s="101"/>
      <c r="I55" s="102"/>
      <c r="J55" s="103">
        <v>1150</v>
      </c>
      <c r="K55" s="104">
        <v>11.79</v>
      </c>
      <c r="L55" s="101">
        <f t="shared" si="56"/>
        <v>13558.499999999998</v>
      </c>
      <c r="M55" s="101"/>
      <c r="N55" s="101"/>
      <c r="O55" s="101"/>
      <c r="P55" s="105"/>
      <c r="Q55" s="105"/>
      <c r="R55" s="101"/>
      <c r="S55" s="105"/>
      <c r="T55" s="89"/>
      <c r="U55" s="106"/>
      <c r="V55" s="106"/>
      <c r="W55" s="106"/>
      <c r="X55" s="107">
        <f t="shared" si="57"/>
        <v>13558.499999999998</v>
      </c>
      <c r="Y55" s="108"/>
      <c r="Z55" s="56"/>
    </row>
    <row r="56" spans="1:256" s="115" customFormat="1" ht="33.75">
      <c r="A56" s="109"/>
      <c r="B56" s="96" t="s">
        <v>52</v>
      </c>
      <c r="C56" s="110" t="s">
        <v>55</v>
      </c>
      <c r="D56" s="110"/>
      <c r="E56" s="110"/>
      <c r="F56" s="100"/>
      <c r="G56" s="111" t="s">
        <v>94</v>
      </c>
      <c r="H56" s="101"/>
      <c r="I56" s="102"/>
      <c r="J56" s="105" t="s">
        <v>56</v>
      </c>
      <c r="K56" s="105" t="s">
        <v>56</v>
      </c>
      <c r="L56" s="101"/>
      <c r="M56" s="101"/>
      <c r="N56" s="101"/>
      <c r="O56" s="101"/>
      <c r="P56" s="105" t="s">
        <v>56</v>
      </c>
      <c r="Q56" s="105" t="s">
        <v>56</v>
      </c>
      <c r="R56" s="101"/>
      <c r="S56" s="105" t="s">
        <v>56</v>
      </c>
      <c r="T56" s="112"/>
      <c r="U56" s="108">
        <f>W51</f>
        <v>70196.80000000002</v>
      </c>
      <c r="V56" s="113"/>
      <c r="W56" s="113"/>
      <c r="X56" s="108">
        <f>SUM(X52:X55)</f>
        <v>38591</v>
      </c>
      <c r="Y56" s="108">
        <f>SUM(U56:X56)</f>
        <v>108787.80000000002</v>
      </c>
      <c r="Z56" s="114"/>
      <c r="IO56" s="116"/>
      <c r="IP56" s="116"/>
      <c r="IQ56" s="116"/>
      <c r="IR56" s="116"/>
      <c r="IS56" s="116"/>
      <c r="IT56" s="116"/>
      <c r="IU56" s="116"/>
      <c r="IV56" s="116"/>
    </row>
    <row r="57" spans="2:26" ht="6.75" customHeight="1">
      <c r="B57" s="117"/>
      <c r="C57" s="118"/>
      <c r="D57" s="119"/>
      <c r="E57" s="120"/>
      <c r="F57" s="121"/>
      <c r="G57" s="122"/>
      <c r="H57" s="123"/>
      <c r="I57" s="124"/>
      <c r="J57" s="125"/>
      <c r="K57" s="123"/>
      <c r="L57" s="123"/>
      <c r="M57" s="123"/>
      <c r="N57" s="123"/>
      <c r="O57" s="123"/>
      <c r="P57" s="123"/>
      <c r="Q57" s="123"/>
      <c r="R57" s="123"/>
      <c r="S57" s="126"/>
      <c r="T57" s="56"/>
      <c r="U57" s="123"/>
      <c r="V57" s="123"/>
      <c r="W57" s="123"/>
      <c r="X57" s="123"/>
      <c r="Y57" s="123"/>
      <c r="Z57" s="56"/>
    </row>
    <row r="58" spans="1:26" s="141" customFormat="1" ht="15.75">
      <c r="A58" s="127"/>
      <c r="B58" s="128"/>
      <c r="C58" s="129" t="s">
        <v>95</v>
      </c>
      <c r="D58" s="130"/>
      <c r="E58" s="131"/>
      <c r="F58" s="132"/>
      <c r="G58" s="133"/>
      <c r="H58" s="134"/>
      <c r="I58" s="135"/>
      <c r="J58" s="136"/>
      <c r="K58" s="134"/>
      <c r="L58" s="137">
        <f>SUM(L4:L57)</f>
        <v>569196.3999999999</v>
      </c>
      <c r="M58" s="134">
        <f>SUM(M4:M57)</f>
        <v>720</v>
      </c>
      <c r="N58" s="134">
        <f>SUM(N4:N57)</f>
        <v>0</v>
      </c>
      <c r="O58" s="134">
        <f>SUM(O4:O57)</f>
        <v>720</v>
      </c>
      <c r="P58" s="134"/>
      <c r="Q58" s="134"/>
      <c r="R58" s="138">
        <f>SUM(R4:R57)</f>
        <v>2452.2999999999993</v>
      </c>
      <c r="S58" s="139"/>
      <c r="T58" s="140"/>
      <c r="U58" s="137"/>
      <c r="V58" s="137"/>
      <c r="W58" s="137">
        <v>0</v>
      </c>
      <c r="X58" s="137"/>
      <c r="Y58" s="137"/>
      <c r="Z58" s="140"/>
    </row>
    <row r="59" spans="1:26" s="149" customFormat="1" ht="15.75">
      <c r="A59" s="142"/>
      <c r="B59" s="128"/>
      <c r="C59" s="129"/>
      <c r="D59" s="130"/>
      <c r="E59" s="129"/>
      <c r="F59" s="143"/>
      <c r="G59" s="144"/>
      <c r="H59" s="145"/>
      <c r="I59" s="130"/>
      <c r="J59" s="146"/>
      <c r="K59" s="145"/>
      <c r="L59" s="145"/>
      <c r="M59" s="147"/>
      <c r="N59" s="147"/>
      <c r="O59" s="147"/>
      <c r="P59" s="147" t="s">
        <v>96</v>
      </c>
      <c r="Q59" s="147"/>
      <c r="R59" s="147"/>
      <c r="S59" s="148">
        <f>COUNTIF(S$4:S$57,"Open")</f>
        <v>3</v>
      </c>
      <c r="T59" s="140"/>
      <c r="U59" s="145"/>
      <c r="V59" s="145"/>
      <c r="W59" s="145"/>
      <c r="X59" s="145"/>
      <c r="Y59" s="145"/>
      <c r="Z59" s="140"/>
    </row>
    <row r="60" spans="1:26" s="154" customFormat="1" ht="15.75">
      <c r="A60" s="127"/>
      <c r="B60" s="128"/>
      <c r="C60" s="150" t="s">
        <v>97</v>
      </c>
      <c r="D60" s="150"/>
      <c r="E60" s="150"/>
      <c r="F60" s="132"/>
      <c r="G60" s="151" t="s">
        <v>98</v>
      </c>
      <c r="H60" s="134"/>
      <c r="I60" s="152">
        <f>COUNTA(I4:I57)</f>
        <v>36</v>
      </c>
      <c r="J60" s="153"/>
      <c r="K60" s="148"/>
      <c r="L60" s="134"/>
      <c r="M60" s="147"/>
      <c r="N60" s="147"/>
      <c r="O60" s="147"/>
      <c r="P60" s="147" t="s">
        <v>99</v>
      </c>
      <c r="Q60" s="147"/>
      <c r="R60" s="147"/>
      <c r="S60" s="148">
        <f>COUNTIF(S$4:S$57,"Win")</f>
        <v>6</v>
      </c>
      <c r="T60" s="140"/>
      <c r="U60" s="134"/>
      <c r="V60" s="134"/>
      <c r="W60" s="134"/>
      <c r="X60" s="134"/>
      <c r="Y60" s="134"/>
      <c r="Z60" s="140"/>
    </row>
    <row r="61" spans="1:26" s="154" customFormat="1" ht="15.75">
      <c r="A61" s="127"/>
      <c r="B61" s="128"/>
      <c r="C61" s="153"/>
      <c r="D61" s="130"/>
      <c r="E61" s="131"/>
      <c r="F61" s="132"/>
      <c r="G61" s="133"/>
      <c r="H61" s="134"/>
      <c r="I61" s="153"/>
      <c r="J61" s="136"/>
      <c r="K61" s="155"/>
      <c r="L61" s="134"/>
      <c r="M61" s="147"/>
      <c r="N61" s="147"/>
      <c r="O61" s="147"/>
      <c r="P61" s="147" t="s">
        <v>100</v>
      </c>
      <c r="Q61" s="147"/>
      <c r="R61" s="147"/>
      <c r="S61" s="148">
        <f>COUNTIF(S$4:S$57,"Loss")</f>
        <v>11</v>
      </c>
      <c r="T61" s="140"/>
      <c r="U61" s="134"/>
      <c r="V61" s="134"/>
      <c r="W61" s="134"/>
      <c r="X61" s="134"/>
      <c r="Y61" s="134"/>
      <c r="Z61" s="140"/>
    </row>
    <row r="62" spans="1:26" s="154" customFormat="1" ht="15.75">
      <c r="A62" s="127"/>
      <c r="B62" s="128"/>
      <c r="C62" s="153"/>
      <c r="D62" s="130"/>
      <c r="E62" s="131"/>
      <c r="F62" s="132"/>
      <c r="G62" s="133"/>
      <c r="H62" s="134"/>
      <c r="I62" s="153"/>
      <c r="J62" s="136"/>
      <c r="K62" s="155"/>
      <c r="L62" s="134"/>
      <c r="M62" s="147"/>
      <c r="N62" s="147"/>
      <c r="O62" s="147"/>
      <c r="P62" s="147" t="s">
        <v>101</v>
      </c>
      <c r="Q62" s="147"/>
      <c r="R62" s="147"/>
      <c r="S62" s="156">
        <f>S60/S61</f>
        <v>0.5454545454545454</v>
      </c>
      <c r="T62" s="140"/>
      <c r="U62" s="134"/>
      <c r="V62" s="134"/>
      <c r="W62" s="134"/>
      <c r="X62" s="134"/>
      <c r="Y62" s="134"/>
      <c r="Z62" s="140"/>
    </row>
    <row r="63" spans="2:26" ht="6.75" customHeight="1">
      <c r="B63" s="117"/>
      <c r="C63" s="120"/>
      <c r="D63" s="119"/>
      <c r="E63" s="120"/>
      <c r="F63" s="121"/>
      <c r="G63" s="122"/>
      <c r="H63" s="123"/>
      <c r="I63" s="124"/>
      <c r="J63" s="125"/>
      <c r="K63" s="123"/>
      <c r="L63" s="123"/>
      <c r="M63" s="123"/>
      <c r="N63" s="123"/>
      <c r="O63" s="123"/>
      <c r="P63" s="123"/>
      <c r="Q63" s="123"/>
      <c r="R63" s="123"/>
      <c r="S63" s="157"/>
      <c r="T63" s="56"/>
      <c r="U63" s="123"/>
      <c r="V63" s="123"/>
      <c r="W63" s="123"/>
      <c r="X63" s="123"/>
      <c r="Y63" s="123"/>
      <c r="Z63" s="56"/>
    </row>
    <row r="64" spans="1:26" s="163" customFormat="1" ht="16.5">
      <c r="A64" s="158"/>
      <c r="B64" s="159"/>
      <c r="C64" s="160" t="s">
        <v>102</v>
      </c>
      <c r="D64" s="161" t="s">
        <v>103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40"/>
      <c r="U64" s="162"/>
      <c r="V64" s="162"/>
      <c r="W64" s="162"/>
      <c r="X64" s="162"/>
      <c r="Y64" s="162"/>
      <c r="Z64" s="140"/>
    </row>
    <row r="65" spans="1:26" s="163" customFormat="1" ht="16.5">
      <c r="A65" s="158"/>
      <c r="B65" s="159"/>
      <c r="C65" s="160"/>
      <c r="D65" s="161" t="s">
        <v>104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40"/>
      <c r="U65" s="162"/>
      <c r="V65" s="162"/>
      <c r="W65" s="162"/>
      <c r="X65" s="162"/>
      <c r="Y65" s="162"/>
      <c r="Z65" s="140"/>
    </row>
    <row r="66" spans="2:26" ht="7.5" customHeight="1">
      <c r="B66" s="164"/>
      <c r="C66" s="165"/>
      <c r="D66" s="166"/>
      <c r="E66" s="165"/>
      <c r="F66" s="167"/>
      <c r="G66" s="168"/>
      <c r="H66" s="169"/>
      <c r="I66" s="170"/>
      <c r="J66" s="171"/>
      <c r="K66" s="169"/>
      <c r="L66" s="169"/>
      <c r="M66" s="169"/>
      <c r="N66" s="169"/>
      <c r="O66" s="169"/>
      <c r="P66" s="169"/>
      <c r="Q66" s="169"/>
      <c r="R66" s="169"/>
      <c r="S66" s="172"/>
      <c r="T66" s="173"/>
      <c r="U66" s="169"/>
      <c r="V66" s="169"/>
      <c r="W66" s="169"/>
      <c r="X66" s="169"/>
      <c r="Y66" s="169"/>
      <c r="Z66" s="173"/>
    </row>
  </sheetData>
  <sheetProtection selectLockedCells="1" selectUnlockedCells="1"/>
  <autoFilter ref="B1:B56"/>
  <mergeCells count="44">
    <mergeCell ref="B1:B3"/>
    <mergeCell ref="C1:C3"/>
    <mergeCell ref="D1:D3"/>
    <mergeCell ref="E1:E3"/>
    <mergeCell ref="F1:F3"/>
    <mergeCell ref="G1:G3"/>
    <mergeCell ref="H1:H3"/>
    <mergeCell ref="I1:L1"/>
    <mergeCell ref="M1:P1"/>
    <mergeCell ref="Q1:R1"/>
    <mergeCell ref="S1:S3"/>
    <mergeCell ref="T1:T3"/>
    <mergeCell ref="U1:Y1"/>
    <mergeCell ref="Z1:Z3"/>
    <mergeCell ref="AC1:AK1"/>
    <mergeCell ref="I2:L2"/>
    <mergeCell ref="M2:M3"/>
    <mergeCell ref="N2:N3"/>
    <mergeCell ref="O2:O3"/>
    <mergeCell ref="P2:P3"/>
    <mergeCell ref="Q2:Q3"/>
    <mergeCell ref="R2:R3"/>
    <mergeCell ref="U2:U3"/>
    <mergeCell ref="V2:V3"/>
    <mergeCell ref="W2:W3"/>
    <mergeCell ref="X2:X3"/>
    <mergeCell ref="Y2:Y3"/>
    <mergeCell ref="C14:E14"/>
    <mergeCell ref="C18:E18"/>
    <mergeCell ref="C21:E21"/>
    <mergeCell ref="C27:E27"/>
    <mergeCell ref="C31:E31"/>
    <mergeCell ref="C38:G38"/>
    <mergeCell ref="C43:E43"/>
    <mergeCell ref="C48:E48"/>
    <mergeCell ref="C52:E52"/>
    <mergeCell ref="C56:E56"/>
    <mergeCell ref="P59:R59"/>
    <mergeCell ref="C60:E60"/>
    <mergeCell ref="P60:R60"/>
    <mergeCell ref="P61:R61"/>
    <mergeCell ref="P62:R62"/>
    <mergeCell ref="D64:S64"/>
    <mergeCell ref="D65:S65"/>
  </mergeCells>
  <printOptions/>
  <pageMargins left="0.30833333333333335" right="0.3541666666666667" top="0.6083333333333334" bottom="0.7152777777777778" header="0.31527777777777777" footer="0.31527777777777777"/>
  <pageSetup fitToHeight="3" fitToWidth="1" horizontalDpi="300" verticalDpi="300" orientation="landscape" paperSize="9"/>
  <headerFooter alignWithMargins="0">
    <oddHeader>&amp;L&amp;12BullCharts User Group - $100k Portfolio&amp;C&amp;"Arial,Bold"&amp;14Trading Journal - for SHARES&amp;R&amp;"Times New Roman,Regular" ___________________</oddHeader>
    <oddFooter>&amp;L© 2009-2015, RBBrain Consulting
&amp;Uwww.robertbrain.com&amp;U &amp;C&amp;"Arial,Bold"&amp;14page &amp;P of &amp;N&amp;R&amp;F
&amp;"Arial,Bold"&amp;12Printed: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Brainy's sample SHARES Trading Journal</dc:title>
  <dc:subject/>
  <dc:creator>Robert</dc:creator>
  <cp:keywords/>
  <dc:description>(c) Copyright, 2009-2015, Robert Brain</dc:description>
  <cp:lastModifiedBy>Robert Brain</cp:lastModifiedBy>
  <cp:lastPrinted>2014-11-19T05:42:18Z</cp:lastPrinted>
  <dcterms:created xsi:type="dcterms:W3CDTF">2005-02-23T11:10:22Z</dcterms:created>
  <dcterms:modified xsi:type="dcterms:W3CDTF">2015-08-19T05:13:31Z</dcterms:modified>
  <cp:category/>
  <cp:version/>
  <cp:contentType/>
  <cp:contentStatus/>
  <cp:revision>223</cp:revision>
</cp:coreProperties>
</file>